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25" tabRatio="848" activeTab="7"/>
  </bookViews>
  <sheets>
    <sheet name="Notes" sheetId="1" r:id="rId1"/>
    <sheet name="Summary" sheetId="2" r:id="rId2"/>
    <sheet name="GEF projects" sheetId="4" r:id="rId3"/>
    <sheet name="Priority Actions" sheetId="3" r:id="rId4"/>
    <sheet name="Ocean Conf commitments" sheetId="5" r:id="rId5"/>
    <sheet name="NBSAPs" sheetId="8" r:id="rId6"/>
    <sheet name="Other commitments" sheetId="6" r:id="rId7"/>
    <sheet name="New Allcountry" sheetId="10" r:id="rId8"/>
  </sheets>
  <definedNames>
    <definedName name="_xlnm._FilterDatabase" localSheetId="5" hidden="1">NBSAPs!$A$1:$E$64</definedName>
    <definedName name="_xlnm._FilterDatabase" localSheetId="7" hidden="1">'New Allcountry'!$A$1:$AM$205</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2" l="1"/>
  <c r="C12" i="6" l="1"/>
  <c r="C16" i="6" s="1"/>
  <c r="H105" i="10" l="1"/>
  <c r="B20" i="5" l="1"/>
  <c r="J185" i="10"/>
  <c r="B17" i="5"/>
  <c r="H193" i="10"/>
  <c r="J191" i="10"/>
  <c r="B18" i="5" s="1"/>
  <c r="L4" i="10" l="1"/>
  <c r="L5" i="10"/>
  <c r="M5" i="10" s="1"/>
  <c r="L6" i="10"/>
  <c r="M6" i="10" s="1"/>
  <c r="L7" i="10"/>
  <c r="M7" i="10" s="1"/>
  <c r="L10" i="10"/>
  <c r="M10" i="10" s="1"/>
  <c r="L11" i="10"/>
  <c r="M11" i="10" s="1"/>
  <c r="L15" i="10"/>
  <c r="L16" i="10"/>
  <c r="M16" i="10" s="1"/>
  <c r="L18" i="10"/>
  <c r="M18" i="10" s="1"/>
  <c r="L20" i="10"/>
  <c r="M20" i="10" s="1"/>
  <c r="L21" i="10"/>
  <c r="M21" i="10" s="1"/>
  <c r="L22" i="10"/>
  <c r="M22" i="10" s="1"/>
  <c r="L23" i="10"/>
  <c r="M23" i="10" s="1"/>
  <c r="L25" i="10"/>
  <c r="M25" i="10" s="1"/>
  <c r="L27" i="10"/>
  <c r="M27" i="10" s="1"/>
  <c r="L28" i="10"/>
  <c r="M28" i="10" s="1"/>
  <c r="L29" i="10"/>
  <c r="L31" i="10"/>
  <c r="M31" i="10" s="1"/>
  <c r="L33" i="10"/>
  <c r="M33" i="10" s="1"/>
  <c r="L34" i="10"/>
  <c r="M34" i="10" s="1"/>
  <c r="L35" i="10"/>
  <c r="M35" i="10" s="1"/>
  <c r="L36" i="10"/>
  <c r="M36" i="10" s="1"/>
  <c r="L37" i="10"/>
  <c r="M37" i="10" s="1"/>
  <c r="L38" i="10"/>
  <c r="M38" i="10" s="1"/>
  <c r="L39" i="10"/>
  <c r="M39" i="10" s="1"/>
  <c r="L42" i="10"/>
  <c r="M42" i="10" s="1"/>
  <c r="L44" i="10"/>
  <c r="M44" i="10" s="1"/>
  <c r="L45" i="10"/>
  <c r="M45" i="10" s="1"/>
  <c r="L47" i="10"/>
  <c r="M47" i="10" s="1"/>
  <c r="L48" i="10"/>
  <c r="M48" i="10" s="1"/>
  <c r="L49" i="10"/>
  <c r="M49" i="10" s="1"/>
  <c r="L50" i="10"/>
  <c r="M50" i="10" s="1"/>
  <c r="L51" i="10"/>
  <c r="M51" i="10" s="1"/>
  <c r="L52" i="10"/>
  <c r="M52" i="10" s="1"/>
  <c r="L55" i="10"/>
  <c r="M55" i="10" s="1"/>
  <c r="L56" i="10"/>
  <c r="L57" i="10"/>
  <c r="M57" i="10" s="1"/>
  <c r="L60" i="10"/>
  <c r="M60" i="10" s="1"/>
  <c r="L61" i="10"/>
  <c r="M61" i="10" s="1"/>
  <c r="L62" i="10"/>
  <c r="M62" i="10" s="1"/>
  <c r="L65" i="10"/>
  <c r="M65" i="10" s="1"/>
  <c r="L66" i="10"/>
  <c r="M66" i="10" s="1"/>
  <c r="L67" i="10"/>
  <c r="M67" i="10" s="1"/>
  <c r="L68" i="10"/>
  <c r="M68" i="10" s="1"/>
  <c r="L69" i="10"/>
  <c r="M69" i="10" s="1"/>
  <c r="L72" i="10"/>
  <c r="M72" i="10" s="1"/>
  <c r="L73" i="10"/>
  <c r="L74" i="10"/>
  <c r="M74" i="10" s="1"/>
  <c r="L76" i="10"/>
  <c r="M76" i="10" s="1"/>
  <c r="L78" i="10"/>
  <c r="M78" i="10" s="1"/>
  <c r="L79" i="10"/>
  <c r="M79" i="10" s="1"/>
  <c r="L81" i="10"/>
  <c r="M81" i="10" s="1"/>
  <c r="L83" i="10"/>
  <c r="M83" i="10" s="1"/>
  <c r="L84" i="10"/>
  <c r="M84" i="10" s="1"/>
  <c r="L86" i="10"/>
  <c r="M86" i="10" s="1"/>
  <c r="L87" i="10"/>
  <c r="M87" i="10" s="1"/>
  <c r="L88" i="10"/>
  <c r="M88" i="10" s="1"/>
  <c r="L89" i="10"/>
  <c r="M89" i="10" s="1"/>
  <c r="L91" i="10"/>
  <c r="L92" i="10"/>
  <c r="M92" i="10" s="1"/>
  <c r="L93" i="10"/>
  <c r="M93" i="10" s="1"/>
  <c r="L94" i="10"/>
  <c r="M94" i="10" s="1"/>
  <c r="L95" i="10"/>
  <c r="M95" i="10" s="1"/>
  <c r="L98" i="10"/>
  <c r="M98" i="10" s="1"/>
  <c r="L100" i="10"/>
  <c r="M100" i="10" s="1"/>
  <c r="L101" i="10"/>
  <c r="M101" i="10" s="1"/>
  <c r="L103" i="10"/>
  <c r="M103" i="10" s="1"/>
  <c r="L104" i="10"/>
  <c r="M104" i="10" s="1"/>
  <c r="L107" i="10"/>
  <c r="M107" i="10" s="1"/>
  <c r="L108" i="10"/>
  <c r="M108" i="10" s="1"/>
  <c r="L109" i="10"/>
  <c r="L110" i="10"/>
  <c r="L111" i="10"/>
  <c r="M111" i="10" s="1"/>
  <c r="L112" i="10"/>
  <c r="M112" i="10" s="1"/>
  <c r="L113" i="10"/>
  <c r="M113" i="10" s="1"/>
  <c r="L114" i="10"/>
  <c r="M114" i="10" s="1"/>
  <c r="L115" i="10"/>
  <c r="M115" i="10" s="1"/>
  <c r="L116" i="10"/>
  <c r="L117" i="10"/>
  <c r="M117" i="10" s="1"/>
  <c r="L119" i="10"/>
  <c r="M119" i="10" s="1"/>
  <c r="L120" i="10"/>
  <c r="M120" i="10" s="1"/>
  <c r="L124" i="10"/>
  <c r="L125" i="10"/>
  <c r="M125" i="10" s="1"/>
  <c r="L126" i="10"/>
  <c r="M126" i="10" s="1"/>
  <c r="L127" i="10"/>
  <c r="M127" i="10" s="1"/>
  <c r="L128" i="10"/>
  <c r="M128" i="10" s="1"/>
  <c r="L129" i="10"/>
  <c r="M129" i="10" s="1"/>
  <c r="L131" i="10"/>
  <c r="M131" i="10" s="1"/>
  <c r="L132" i="10"/>
  <c r="M132" i="10" s="1"/>
  <c r="L133" i="10"/>
  <c r="M133" i="10" s="1"/>
  <c r="L134" i="10"/>
  <c r="M134" i="10" s="1"/>
  <c r="L135" i="10"/>
  <c r="M135" i="10" s="1"/>
  <c r="L136" i="10"/>
  <c r="M136" i="10" s="1"/>
  <c r="L137" i="10"/>
  <c r="M137" i="10" s="1"/>
  <c r="L140" i="10"/>
  <c r="M140" i="10" s="1"/>
  <c r="L141" i="10"/>
  <c r="M141" i="10" s="1"/>
  <c r="L143" i="10"/>
  <c r="M143" i="10" s="1"/>
  <c r="L144" i="10"/>
  <c r="M144" i="10" s="1"/>
  <c r="L145" i="10"/>
  <c r="M145" i="10" s="1"/>
  <c r="L146" i="10"/>
  <c r="M146" i="10" s="1"/>
  <c r="L148" i="10"/>
  <c r="M148" i="10" s="1"/>
  <c r="L150" i="10"/>
  <c r="M150" i="10" s="1"/>
  <c r="L151" i="10"/>
  <c r="M151" i="10" s="1"/>
  <c r="L153" i="10"/>
  <c r="M153" i="10" s="1"/>
  <c r="L154" i="10"/>
  <c r="M154" i="10" s="1"/>
  <c r="L157" i="10"/>
  <c r="M157" i="10" s="1"/>
  <c r="L158" i="10"/>
  <c r="M158" i="10" s="1"/>
  <c r="L161" i="10"/>
  <c r="M161" i="10" s="1"/>
  <c r="L162" i="10"/>
  <c r="M162" i="10" s="1"/>
  <c r="L163" i="10"/>
  <c r="M163" i="10" s="1"/>
  <c r="L165" i="10"/>
  <c r="M165" i="10" s="1"/>
  <c r="L166" i="10"/>
  <c r="M166" i="10" s="1"/>
  <c r="L167" i="10"/>
  <c r="M167" i="10" s="1"/>
  <c r="L168" i="10"/>
  <c r="M168" i="10" s="1"/>
  <c r="L170" i="10"/>
  <c r="L171" i="10"/>
  <c r="L172" i="10"/>
  <c r="M172" i="10" s="1"/>
  <c r="L173" i="10"/>
  <c r="M173" i="10" s="1"/>
  <c r="L174" i="10"/>
  <c r="M174" i="10" s="1"/>
  <c r="L176" i="10"/>
  <c r="M176" i="10" s="1"/>
  <c r="L177" i="10"/>
  <c r="M177" i="10" s="1"/>
  <c r="L179" i="10"/>
  <c r="M179" i="10" s="1"/>
  <c r="L180" i="10"/>
  <c r="M180" i="10" s="1"/>
  <c r="L181" i="10"/>
  <c r="M181" i="10" s="1"/>
  <c r="L182" i="10"/>
  <c r="M182" i="10" s="1"/>
  <c r="L183" i="10"/>
  <c r="M183" i="10" s="1"/>
  <c r="L184" i="10"/>
  <c r="M184" i="10" s="1"/>
  <c r="L187" i="10"/>
  <c r="M187" i="10" s="1"/>
  <c r="L188" i="10"/>
  <c r="M188" i="10" s="1"/>
  <c r="L189" i="10"/>
  <c r="M189" i="10" s="1"/>
  <c r="L190" i="10"/>
  <c r="M190" i="10" s="1"/>
  <c r="L191" i="10"/>
  <c r="M191" i="10" s="1"/>
  <c r="L192" i="10"/>
  <c r="M192" i="10" s="1"/>
  <c r="L194" i="10"/>
  <c r="M194" i="10" s="1"/>
  <c r="L196" i="10"/>
  <c r="M196" i="10" s="1"/>
  <c r="L197" i="10"/>
  <c r="M197" i="10" s="1"/>
  <c r="L200" i="10"/>
  <c r="L201" i="10"/>
  <c r="M201" i="10" s="1"/>
  <c r="L203" i="10"/>
  <c r="M203" i="10" s="1"/>
  <c r="L204" i="10"/>
  <c r="M204" i="10" s="1"/>
  <c r="L2" i="10"/>
  <c r="M29" i="10" l="1"/>
  <c r="M109" i="10"/>
  <c r="M73" i="10"/>
  <c r="M15" i="10"/>
  <c r="M116" i="10"/>
  <c r="M171" i="10"/>
  <c r="M56" i="10"/>
  <c r="M110" i="10"/>
  <c r="M170" i="10"/>
  <c r="M91" i="10"/>
  <c r="M200" i="10"/>
  <c r="M4" i="10"/>
  <c r="M124" i="10"/>
  <c r="D20" i="8"/>
  <c r="L185" i="10" l="1"/>
  <c r="M185" i="10" s="1"/>
  <c r="G77" i="10"/>
  <c r="F90" i="10" l="1"/>
  <c r="G82" i="10" l="1"/>
  <c r="L82" i="10" s="1"/>
  <c r="G59" i="10"/>
  <c r="L59" i="10" s="1"/>
  <c r="M59" i="10" s="1"/>
  <c r="G30" i="10"/>
  <c r="L30" i="10" s="1"/>
  <c r="M30" i="10" s="1"/>
  <c r="F14" i="10"/>
  <c r="F12" i="10"/>
  <c r="M82" i="10" l="1"/>
  <c r="G12" i="10"/>
  <c r="L12" i="10" s="1"/>
  <c r="M12" i="10" s="1"/>
  <c r="G14" i="10"/>
  <c r="L14" i="10" s="1"/>
  <c r="M14" i="10" s="1"/>
  <c r="D22" i="8"/>
  <c r="D29" i="8"/>
  <c r="D13" i="8"/>
  <c r="E4" i="2"/>
  <c r="E8" i="2" s="1"/>
  <c r="E9" i="2"/>
  <c r="E10" i="2" l="1"/>
  <c r="D7" i="8"/>
  <c r="D6" i="8"/>
  <c r="K85" i="10" l="1"/>
  <c r="L85" i="10" s="1"/>
  <c r="M85" i="10" s="1"/>
  <c r="K13" i="10"/>
  <c r="L13" i="10" s="1"/>
  <c r="M13" i="10" s="1"/>
  <c r="H159" i="10"/>
  <c r="C20" i="6" l="1"/>
  <c r="C24" i="6"/>
  <c r="L102" i="10"/>
  <c r="M102" i="10" s="1"/>
  <c r="B9" i="5" l="1"/>
  <c r="J90" i="10" s="1"/>
  <c r="G90" i="10" s="1"/>
  <c r="L90" i="10" s="1"/>
  <c r="M90" i="10" s="1"/>
  <c r="D30" i="8" l="1"/>
  <c r="J164" i="10"/>
  <c r="B13" i="5" s="1"/>
  <c r="J122" i="10"/>
  <c r="L122" i="10" s="1"/>
  <c r="M122" i="10" s="1"/>
  <c r="J75" i="10"/>
  <c r="L75" i="10" s="1"/>
  <c r="M75" i="10" s="1"/>
  <c r="B12" i="5" l="1"/>
  <c r="B7" i="5"/>
  <c r="B19" i="5" s="1"/>
  <c r="K63" i="10"/>
  <c r="L63" i="10" s="1"/>
  <c r="M63" i="10" s="1"/>
  <c r="K26" i="10"/>
  <c r="L26" i="10" s="1"/>
  <c r="M26" i="10" s="1"/>
  <c r="K54" i="10"/>
  <c r="L54" i="10" s="1"/>
  <c r="M54" i="10" s="1"/>
  <c r="K147" i="10"/>
  <c r="L147" i="10" s="1"/>
  <c r="M147" i="10" s="1"/>
  <c r="K198" i="10"/>
  <c r="L198" i="10" s="1"/>
  <c r="M198" i="10" s="1"/>
  <c r="B21" i="5" l="1"/>
  <c r="B4" i="2"/>
  <c r="C22" i="6"/>
  <c r="C30" i="6"/>
  <c r="C21" i="6"/>
  <c r="H46" i="10"/>
  <c r="C6" i="3" s="1"/>
  <c r="H199" i="10" l="1"/>
  <c r="C21" i="3" s="1"/>
  <c r="L193" i="10"/>
  <c r="H156" i="10"/>
  <c r="H155" i="10"/>
  <c r="H106" i="10"/>
  <c r="L106" i="10" s="1"/>
  <c r="L105" i="10"/>
  <c r="H58" i="10"/>
  <c r="L58" i="10" s="1"/>
  <c r="M58" i="10" s="1"/>
  <c r="M193" i="10" l="1"/>
  <c r="M105" i="10"/>
  <c r="M106" i="10"/>
  <c r="C12" i="3"/>
  <c r="K156" i="10"/>
  <c r="C28" i="6" s="1"/>
  <c r="C7" i="3"/>
  <c r="C13" i="3"/>
  <c r="K155" i="10"/>
  <c r="C27" i="6" s="1"/>
  <c r="C20" i="3"/>
  <c r="C16" i="3"/>
  <c r="C17" i="3"/>
  <c r="H43" i="10"/>
  <c r="C5" i="3" s="1"/>
  <c r="H40" i="10"/>
  <c r="L40" i="10" s="1"/>
  <c r="M40" i="10" l="1"/>
  <c r="L155" i="10"/>
  <c r="M155" i="10" s="1"/>
  <c r="L156" i="10"/>
  <c r="M156" i="10" s="1"/>
  <c r="C4" i="3"/>
  <c r="D65" i="10" l="1"/>
  <c r="D118" i="10"/>
  <c r="D109" i="10"/>
  <c r="D130" i="10"/>
  <c r="D196" i="10"/>
  <c r="D135" i="10"/>
  <c r="D95" i="10"/>
  <c r="D171" i="10"/>
  <c r="D53" i="10"/>
  <c r="D54" i="10"/>
  <c r="D69" i="10"/>
  <c r="D115" i="10"/>
  <c r="D125" i="10"/>
  <c r="D97" i="10"/>
  <c r="D152" i="10"/>
  <c r="D142" i="10"/>
  <c r="D195" i="10"/>
  <c r="D16" i="10"/>
  <c r="D205" i="10"/>
  <c r="D204" i="10"/>
  <c r="D203" i="10"/>
  <c r="D202" i="10"/>
  <c r="D201" i="10"/>
  <c r="D200" i="10"/>
  <c r="D199" i="10"/>
  <c r="D198" i="10"/>
  <c r="D192" i="10"/>
  <c r="D191" i="10"/>
  <c r="D190" i="10"/>
  <c r="D189" i="10"/>
  <c r="D188" i="10"/>
  <c r="D187" i="10"/>
  <c r="D186" i="10"/>
  <c r="D185" i="10"/>
  <c r="D184" i="10"/>
  <c r="D183" i="10"/>
  <c r="D182" i="10"/>
  <c r="D181" i="10"/>
  <c r="D180" i="10"/>
  <c r="D179" i="10"/>
  <c r="D176" i="10"/>
  <c r="D175" i="10"/>
  <c r="D174" i="10"/>
  <c r="D172" i="10"/>
  <c r="D170" i="10"/>
  <c r="D169" i="10"/>
  <c r="D167" i="10"/>
  <c r="D166" i="10"/>
  <c r="D165" i="10"/>
  <c r="D164" i="10"/>
  <c r="D163" i="10"/>
  <c r="D162" i="10"/>
  <c r="D161" i="10"/>
  <c r="D160" i="10"/>
  <c r="D159" i="10"/>
  <c r="D158" i="10"/>
  <c r="D157" i="10"/>
  <c r="D156" i="10"/>
  <c r="D155" i="10"/>
  <c r="D154" i="10"/>
  <c r="D153" i="10"/>
  <c r="D151" i="10"/>
  <c r="D150" i="10"/>
  <c r="D148" i="10"/>
  <c r="D147" i="10"/>
  <c r="D145" i="10"/>
  <c r="D140" i="10"/>
  <c r="D138" i="10"/>
  <c r="D137" i="10"/>
  <c r="D134" i="10"/>
  <c r="D133" i="10"/>
  <c r="D132" i="10"/>
  <c r="D131" i="10"/>
  <c r="D127" i="10"/>
  <c r="D126" i="10"/>
  <c r="D124" i="10"/>
  <c r="D123" i="10"/>
  <c r="D122" i="10"/>
  <c r="D120" i="10"/>
  <c r="D119" i="10"/>
  <c r="D116" i="10"/>
  <c r="D113" i="10"/>
  <c r="D111" i="10"/>
  <c r="D110" i="10"/>
  <c r="D108" i="10"/>
  <c r="D107" i="10"/>
  <c r="D106" i="10"/>
  <c r="D105" i="10"/>
  <c r="D104" i="10"/>
  <c r="D103" i="10"/>
  <c r="D101" i="10"/>
  <c r="D100" i="10"/>
  <c r="D99" i="10"/>
  <c r="D98" i="10"/>
  <c r="D96" i="10"/>
  <c r="D94" i="10"/>
  <c r="D93" i="10"/>
  <c r="D92" i="10"/>
  <c r="D91" i="10"/>
  <c r="D89" i="10"/>
  <c r="D88" i="10"/>
  <c r="D87" i="10"/>
  <c r="D86" i="10"/>
  <c r="D85" i="10"/>
  <c r="D84" i="10"/>
  <c r="D83" i="10"/>
  <c r="D82" i="10"/>
  <c r="D81" i="10"/>
  <c r="D80" i="10"/>
  <c r="D79" i="10"/>
  <c r="D78" i="10"/>
  <c r="D77" i="10"/>
  <c r="D75" i="10"/>
  <c r="D74" i="10"/>
  <c r="D73" i="10"/>
  <c r="D72" i="10"/>
  <c r="D71" i="10"/>
  <c r="D70" i="10"/>
  <c r="D67" i="10"/>
  <c r="D64" i="10"/>
  <c r="D63" i="10"/>
  <c r="D62" i="10"/>
  <c r="D61" i="10"/>
  <c r="D60" i="10"/>
  <c r="D59" i="10"/>
  <c r="D58" i="10"/>
  <c r="D57" i="10"/>
  <c r="D56" i="10"/>
  <c r="D52" i="10"/>
  <c r="D51" i="10"/>
  <c r="D50" i="10"/>
  <c r="D49" i="10"/>
  <c r="D48" i="10"/>
  <c r="D46" i="10"/>
  <c r="D45" i="10"/>
  <c r="D44" i="10"/>
  <c r="D43" i="10"/>
  <c r="D41" i="10"/>
  <c r="D40" i="10"/>
  <c r="D38" i="10"/>
  <c r="D37" i="10"/>
  <c r="D36" i="10"/>
  <c r="D33" i="10"/>
  <c r="D31" i="10"/>
  <c r="D30" i="10"/>
  <c r="D29" i="10"/>
  <c r="D27" i="10"/>
  <c r="D26" i="10"/>
  <c r="D25" i="10"/>
  <c r="D23" i="10"/>
  <c r="D22" i="10"/>
  <c r="D21" i="10"/>
  <c r="D20" i="10"/>
  <c r="D19" i="10"/>
  <c r="D18" i="10"/>
  <c r="D17" i="10"/>
  <c r="D15" i="10"/>
  <c r="D14" i="10"/>
  <c r="D12" i="10"/>
  <c r="D11" i="10"/>
  <c r="D10" i="10"/>
  <c r="D8" i="10"/>
  <c r="D6" i="10"/>
  <c r="D5" i="10"/>
  <c r="D4" i="10"/>
  <c r="D3" i="10"/>
  <c r="D128" i="10"/>
  <c r="D141" i="10"/>
  <c r="D90" i="10"/>
  <c r="D143" i="10"/>
  <c r="D136" i="10"/>
  <c r="D47" i="10"/>
  <c r="D28" i="10"/>
  <c r="D66" i="10"/>
  <c r="D112" i="10"/>
  <c r="D35" i="10"/>
  <c r="D149" i="10"/>
  <c r="D173" i="10"/>
  <c r="D76" i="10"/>
  <c r="D146" i="10"/>
  <c r="D7" i="10"/>
  <c r="D121" i="10"/>
  <c r="D139" i="10"/>
  <c r="D13" i="10"/>
  <c r="D177" i="10"/>
  <c r="D194" i="10"/>
  <c r="D178" i="10"/>
  <c r="D9" i="10"/>
  <c r="D129" i="10"/>
  <c r="D102" i="10"/>
  <c r="D55" i="10"/>
  <c r="D193" i="10"/>
  <c r="D24" i="10"/>
  <c r="D68" i="10"/>
  <c r="D39" i="10"/>
  <c r="D197" i="10"/>
  <c r="D32" i="10"/>
  <c r="B2" i="10"/>
  <c r="D34" i="10"/>
  <c r="D2" i="10" l="1"/>
  <c r="M2" i="10"/>
  <c r="F205" i="10"/>
  <c r="G205" i="10" s="1"/>
  <c r="L205" i="10" s="1"/>
  <c r="F17" i="10"/>
  <c r="G17" i="10" s="1"/>
  <c r="L17" i="10" s="1"/>
  <c r="M17" i="10" s="1"/>
  <c r="F164" i="10"/>
  <c r="G164" i="10" s="1"/>
  <c r="L164" i="10" s="1"/>
  <c r="M164" i="10" s="1"/>
  <c r="F142" i="10"/>
  <c r="G142" i="10" s="1"/>
  <c r="L142" i="10" s="1"/>
  <c r="F178" i="10"/>
  <c r="G178" i="10" s="1"/>
  <c r="L178" i="10" s="1"/>
  <c r="M178" i="10" s="1"/>
  <c r="F149" i="10"/>
  <c r="G149" i="10" s="1"/>
  <c r="L149" i="10" s="1"/>
  <c r="M149" i="10" s="1"/>
  <c r="F43" i="10"/>
  <c r="G43" i="10" s="1"/>
  <c r="L43" i="10" s="1"/>
  <c r="M43" i="10" s="1"/>
  <c r="F159" i="10"/>
  <c r="G159" i="10" s="1"/>
  <c r="K159" i="10" s="1"/>
  <c r="L159" i="10" s="1"/>
  <c r="M159" i="10" s="1"/>
  <c r="F152" i="10"/>
  <c r="G152" i="10" s="1"/>
  <c r="L152" i="10" s="1"/>
  <c r="M152" i="10" s="1"/>
  <c r="F9" i="10"/>
  <c r="G9" i="10" s="1"/>
  <c r="L9" i="10" s="1"/>
  <c r="M9" i="10" s="1"/>
  <c r="F64" i="10"/>
  <c r="G64" i="10" s="1"/>
  <c r="L64" i="10" s="1"/>
  <c r="M64" i="10" s="1"/>
  <c r="F160" i="10"/>
  <c r="G160" i="10" s="1"/>
  <c r="L160" i="10" s="1"/>
  <c r="M160" i="10" s="1"/>
  <c r="F130" i="10"/>
  <c r="G130" i="10" s="1"/>
  <c r="L130" i="10" s="1"/>
  <c r="M130" i="10" s="1"/>
  <c r="F46" i="10"/>
  <c r="G46" i="10" s="1"/>
  <c r="L46" i="10" s="1"/>
  <c r="M46" i="10" s="1"/>
  <c r="F70" i="10"/>
  <c r="G70" i="10" s="1"/>
  <c r="L70" i="10" s="1"/>
  <c r="M70" i="10" s="1"/>
  <c r="F118" i="10"/>
  <c r="G118" i="10" s="1"/>
  <c r="L118" i="10" s="1"/>
  <c r="M118" i="10" s="1"/>
  <c r="F24" i="10"/>
  <c r="G24" i="10" s="1"/>
  <c r="L24" i="10" s="1"/>
  <c r="M24" i="10" s="1"/>
  <c r="F71" i="10"/>
  <c r="G71" i="10" s="1"/>
  <c r="L71" i="10" s="1"/>
  <c r="M71" i="10" s="1"/>
  <c r="F99" i="10"/>
  <c r="G99" i="10" s="1"/>
  <c r="L99" i="10" s="1"/>
  <c r="M99" i="10" s="1"/>
  <c r="F123" i="10"/>
  <c r="G123" i="10" s="1"/>
  <c r="L123" i="10" s="1"/>
  <c r="M123" i="10" s="1"/>
  <c r="F199" i="10"/>
  <c r="G199" i="10" s="1"/>
  <c r="L199" i="10" s="1"/>
  <c r="M199" i="10" s="1"/>
  <c r="F195" i="10"/>
  <c r="G195" i="10" s="1"/>
  <c r="L195" i="10" s="1"/>
  <c r="M195" i="10" s="1"/>
  <c r="F32" i="10"/>
  <c r="G32" i="10" s="1"/>
  <c r="L32" i="10" s="1"/>
  <c r="M32" i="10" s="1"/>
  <c r="F96" i="10"/>
  <c r="G96" i="10" s="1"/>
  <c r="F19" i="10"/>
  <c r="G19" i="10" s="1"/>
  <c r="L19" i="10" s="1"/>
  <c r="M19" i="10" s="1"/>
  <c r="F41" i="10"/>
  <c r="G41" i="10" s="1"/>
  <c r="L41" i="10" s="1"/>
  <c r="M41" i="10" s="1"/>
  <c r="F202" i="10"/>
  <c r="G202" i="10" s="1"/>
  <c r="L202" i="10" s="1"/>
  <c r="M202" i="10" s="1"/>
  <c r="F97" i="10"/>
  <c r="G97" i="10" s="1"/>
  <c r="L97" i="10" s="1"/>
  <c r="M97" i="10" s="1"/>
  <c r="D52" i="8"/>
  <c r="D5" i="8"/>
  <c r="F3" i="10"/>
  <c r="G3" i="10" s="1"/>
  <c r="L3" i="10" s="1"/>
  <c r="M3" i="10" s="1"/>
  <c r="F139" i="10"/>
  <c r="G139" i="10" s="1"/>
  <c r="L139" i="10" s="1"/>
  <c r="M139" i="10" s="1"/>
  <c r="F138" i="10"/>
  <c r="G138" i="10" s="1"/>
  <c r="L138" i="10" s="1"/>
  <c r="M138" i="10" s="1"/>
  <c r="F175" i="10"/>
  <c r="G175" i="10" s="1"/>
  <c r="L175" i="10" s="1"/>
  <c r="M175" i="10" s="1"/>
  <c r="F186" i="10"/>
  <c r="G186" i="10" s="1"/>
  <c r="L186" i="10" s="1"/>
  <c r="M186" i="10" s="1"/>
  <c r="F53" i="10"/>
  <c r="G53" i="10" s="1"/>
  <c r="L53" i="10" s="1"/>
  <c r="M53" i="10" s="1"/>
  <c r="F8" i="10"/>
  <c r="G8" i="10" s="1"/>
  <c r="L8" i="10" s="1"/>
  <c r="M8" i="10" s="1"/>
  <c r="F169" i="10"/>
  <c r="G169" i="10" s="1"/>
  <c r="L169" i="10" s="1"/>
  <c r="M169" i="10" s="1"/>
  <c r="F121" i="10"/>
  <c r="G121" i="10" s="1"/>
  <c r="L121" i="10" s="1"/>
  <c r="M121" i="10" s="1"/>
  <c r="D57" i="8" l="1"/>
  <c r="D63" i="8"/>
  <c r="M205" i="10"/>
  <c r="M142" i="10"/>
  <c r="D24" i="8"/>
  <c r="D16" i="8"/>
  <c r="D25" i="8"/>
  <c r="D44" i="8"/>
  <c r="D9" i="8"/>
  <c r="D49" i="8"/>
  <c r="D61" i="8"/>
  <c r="D48" i="8"/>
  <c r="D17" i="8"/>
  <c r="D40" i="8"/>
  <c r="D10" i="8"/>
  <c r="D18" i="8"/>
  <c r="D11" i="8"/>
  <c r="D14" i="8"/>
  <c r="D42" i="8"/>
  <c r="D60" i="8"/>
  <c r="D33" i="8"/>
  <c r="D34" i="8"/>
  <c r="D51" i="8"/>
  <c r="D32" i="8"/>
  <c r="D56" i="8"/>
  <c r="D53" i="8"/>
  <c r="D46" i="8"/>
  <c r="D4" i="8"/>
  <c r="D2" i="8"/>
  <c r="D23" i="8"/>
  <c r="D19" i="8"/>
  <c r="K96" i="10"/>
  <c r="L96" i="10" s="1"/>
  <c r="M96" i="10" s="1"/>
  <c r="D64" i="8"/>
  <c r="D58" i="8"/>
  <c r="D45" i="8"/>
  <c r="D41" i="8"/>
  <c r="C9" i="3" l="1"/>
  <c r="H80" i="10" s="1"/>
  <c r="L80" i="10" s="1"/>
  <c r="M80" i="10" l="1"/>
  <c r="C8" i="2" l="1"/>
  <c r="F3" i="2" l="1"/>
  <c r="D3" i="2"/>
  <c r="C2" i="3" l="1"/>
  <c r="C22" i="3" s="1"/>
  <c r="F4" i="2" l="1"/>
  <c r="D4" i="2" l="1"/>
  <c r="B2" i="2" l="1"/>
  <c r="F2" i="2" l="1"/>
  <c r="D2" i="2"/>
  <c r="C25" i="6" l="1"/>
  <c r="C29" i="6" l="1"/>
  <c r="D50" i="8"/>
  <c r="D27" i="8" l="1"/>
  <c r="D66" i="8" s="1"/>
  <c r="K77" i="10"/>
  <c r="L77" i="10" s="1"/>
  <c r="M77" i="10" s="1"/>
  <c r="B6" i="2" l="1"/>
  <c r="C23" i="6"/>
  <c r="C31" i="6" l="1"/>
  <c r="B7" i="6" s="1"/>
  <c r="B6" i="6" s="1"/>
  <c r="B5" i="2" s="1"/>
  <c r="F6" i="2"/>
  <c r="D6" i="2"/>
  <c r="D5" i="2" l="1"/>
  <c r="D8" i="2" s="1"/>
  <c r="D10" i="2" s="1"/>
  <c r="B8" i="2"/>
  <c r="F5" i="2"/>
  <c r="F8" i="2" s="1"/>
  <c r="F10" i="2" s="1"/>
</calcChain>
</file>

<file path=xl/sharedStrings.xml><?xml version="1.0" encoding="utf-8"?>
<sst xmlns="http://schemas.openxmlformats.org/spreadsheetml/2006/main" count="783" uniqueCount="528">
  <si>
    <t>National Commitments</t>
  </si>
  <si>
    <t>Country</t>
  </si>
  <si>
    <t>Bahamas</t>
  </si>
  <si>
    <t>Bangladesh</t>
  </si>
  <si>
    <t>Cameroon</t>
  </si>
  <si>
    <t>Comoros</t>
  </si>
  <si>
    <t>Costa Rica</t>
  </si>
  <si>
    <t>Cuba</t>
  </si>
  <si>
    <t>Eritrea</t>
  </si>
  <si>
    <t>India</t>
  </si>
  <si>
    <t>Kuwait</t>
  </si>
  <si>
    <t>Lebanon</t>
  </si>
  <si>
    <t>Liberia</t>
  </si>
  <si>
    <t xml:space="preserve">Malaysia </t>
  </si>
  <si>
    <t>Philippines</t>
  </si>
  <si>
    <t>Saudi Arabia</t>
  </si>
  <si>
    <t>St. Kitts</t>
  </si>
  <si>
    <t>St. Lucia</t>
  </si>
  <si>
    <t xml:space="preserve">St. Vincent </t>
  </si>
  <si>
    <t>United Arab Emirates</t>
  </si>
  <si>
    <t xml:space="preserve">Uruguay </t>
  </si>
  <si>
    <t>Total:</t>
  </si>
  <si>
    <t>Albania</t>
  </si>
  <si>
    <t>Designation of new MPAs</t>
  </si>
  <si>
    <t>Belize</t>
  </si>
  <si>
    <t>Cambodia</t>
  </si>
  <si>
    <t>China</t>
  </si>
  <si>
    <t xml:space="preserve">Dominican Republic </t>
  </si>
  <si>
    <t>They will evaluate min between 2 and 5 areas (terrestrial and marine) to incorporate them in the national protected area system</t>
  </si>
  <si>
    <t xml:space="preserve">Fiji </t>
  </si>
  <si>
    <t>Gabon</t>
  </si>
  <si>
    <t>Georgia</t>
  </si>
  <si>
    <t>Establishment of the new Protected area at Chorokhi Delta, which involves marine area as well;</t>
  </si>
  <si>
    <t>Honduras</t>
  </si>
  <si>
    <t>Indonesia</t>
  </si>
  <si>
    <t>Iran</t>
  </si>
  <si>
    <t>Increase protected areas, implementation of the MPAs</t>
  </si>
  <si>
    <t>Madagascar</t>
  </si>
  <si>
    <t>Initiate Marine Protected Areas (MPA) creation</t>
  </si>
  <si>
    <t>Montenegro</t>
  </si>
  <si>
    <t>Establishment of marine protected areas, make and adopt management plans for them</t>
  </si>
  <si>
    <t>Myanmar</t>
  </si>
  <si>
    <t xml:space="preserve">Nauru </t>
  </si>
  <si>
    <t>Papua New Guinea</t>
  </si>
  <si>
    <t>Recognize, register and gazette the existing WMAs and LMMAs that meet the IUCN criteria</t>
  </si>
  <si>
    <t>Peru</t>
  </si>
  <si>
    <t>Increase the percentage of protected areas in marine environment.</t>
  </si>
  <si>
    <t>Republic of Korea</t>
  </si>
  <si>
    <t>Increase the number of Marine Protected Areas to 12</t>
  </si>
  <si>
    <t>Senegal</t>
  </si>
  <si>
    <t>Create new marine protected areas</t>
  </si>
  <si>
    <t>Sierra Leone</t>
  </si>
  <si>
    <t>The four proposed estuarine systems of the Scarcies River, the Sierra Leone River, the Yawri Bay and the Sherbro River to be declared a marine protected area.</t>
  </si>
  <si>
    <t>Sri Lanka</t>
  </si>
  <si>
    <t>Togo</t>
  </si>
  <si>
    <t xml:space="preserve">Creation of a marine protected area (MPA) </t>
  </si>
  <si>
    <t>Tonga</t>
  </si>
  <si>
    <t>Finalise the 27 proposed SMA sites for cabinet submission</t>
  </si>
  <si>
    <t>United Republic of Tanzania</t>
  </si>
  <si>
    <t>Create new marine protected areas in biodiversity hotspots and fragile ecosystems</t>
  </si>
  <si>
    <t>Mexico</t>
  </si>
  <si>
    <t>Sudan</t>
  </si>
  <si>
    <r>
      <t xml:space="preserve">Improve management of marine resources and strengthening resilience to climate change.  This is being done through the implementation of a </t>
    </r>
    <r>
      <rPr>
        <sz val="10"/>
        <color indexed="8"/>
        <rFont val="Calibri"/>
        <family val="2"/>
      </rPr>
      <t>National replenishment Zone Expansion Project.</t>
    </r>
  </si>
  <si>
    <r>
      <t xml:space="preserve">Establish </t>
    </r>
    <r>
      <rPr>
        <sz val="10"/>
        <color indexed="8"/>
        <rFont val="Calibri"/>
        <family val="2"/>
      </rPr>
      <t xml:space="preserve">new MPAs (encourage marine conservation local area) </t>
    </r>
  </si>
  <si>
    <t>Source of MPA additions</t>
  </si>
  <si>
    <t>Target (%)</t>
  </si>
  <si>
    <t>Page # in NBSAP</t>
  </si>
  <si>
    <t>Marine/Coastal Protected Area Coverage: Reach 6% by 2020</t>
  </si>
  <si>
    <t>Antigua and Barbuda</t>
  </si>
  <si>
    <t>Marine/Coastal Protected Area Coverage: Reach 10% by 2020</t>
  </si>
  <si>
    <t>36/44</t>
  </si>
  <si>
    <t>Argentina</t>
  </si>
  <si>
    <t>Marine/Coastal Protected Area Coverage: Reach 4% by 2020</t>
  </si>
  <si>
    <t>Bahrain</t>
  </si>
  <si>
    <t>Target 1 Protect an additional 10% of Bahrain's territorial, marine and coastal areas</t>
  </si>
  <si>
    <t>add 10%</t>
  </si>
  <si>
    <t>Belgium</t>
  </si>
  <si>
    <t>Marine/Coastal Conservation Area Coverage: Reach at least 10% by 2020</t>
  </si>
  <si>
    <t>46-47</t>
  </si>
  <si>
    <t>Benin</t>
  </si>
  <si>
    <t>Marine/Coastal Protected Area Coverage: Reach 5%</t>
  </si>
  <si>
    <t>Brazil</t>
  </si>
  <si>
    <t xml:space="preserve">Marine/Coastal Protected Area Coverage: Reach 10% by 2020 </t>
  </si>
  <si>
    <r>
      <t xml:space="preserve">Marine/Coastal Protected Areas and Freshwater Protected Areas Coverage: </t>
    </r>
    <r>
      <rPr>
        <b/>
        <sz val="11"/>
        <rFont val="Calibri"/>
        <family val="2"/>
      </rPr>
      <t xml:space="preserve">Double 2010 levels by 2020 </t>
    </r>
    <r>
      <rPr>
        <sz val="11"/>
        <rFont val="Calibri"/>
        <family val="2"/>
      </rPr>
      <t xml:space="preserve">(83.88km2 in 2010) </t>
    </r>
  </si>
  <si>
    <t>n/a</t>
  </si>
  <si>
    <t>169-170</t>
  </si>
  <si>
    <t>Canada</t>
  </si>
  <si>
    <t>Congo</t>
  </si>
  <si>
    <t>18-19</t>
  </si>
  <si>
    <t>Dominica</t>
  </si>
  <si>
    <t xml:space="preserve">Marine/Coastal Protection Conservation Area Coverage: Reach at least 15% by 2020 </t>
  </si>
  <si>
    <t>27/43</t>
  </si>
  <si>
    <t>Marine/Coastal Protected Area Coverage: Reach 360,594 hectares by 2020</t>
  </si>
  <si>
    <t>Finland</t>
  </si>
  <si>
    <t>69-70</t>
  </si>
  <si>
    <t>Cover at least 2.5% of marine areas by protected areas by 2020</t>
  </si>
  <si>
    <t>Grenada</t>
  </si>
  <si>
    <t>33-35</t>
  </si>
  <si>
    <t>Guinea</t>
  </si>
  <si>
    <t>Jamaica</t>
  </si>
  <si>
    <t>Japan</t>
  </si>
  <si>
    <t>Jordan</t>
  </si>
  <si>
    <t>Morocco</t>
  </si>
  <si>
    <t>Marine/Coastal Protected Area Coverage: Reach at least 10% by 2020</t>
  </si>
  <si>
    <t>New Zealand</t>
  </si>
  <si>
    <t>Marine/Coastal Protected Area Coverage: Reach 10% by  2020</t>
  </si>
  <si>
    <t>Russian Federation</t>
  </si>
  <si>
    <t>"Aquatic" Protected Area Coverage: Reach at least 10% by 2020</t>
  </si>
  <si>
    <t>Samoa</t>
  </si>
  <si>
    <t>Seychelles</t>
  </si>
  <si>
    <t>Solomon Islands</t>
  </si>
  <si>
    <t>Marine/Coastal Protected Area Coverage: Reach 15% by  2020</t>
  </si>
  <si>
    <t>Marine/Coastal Conservation Area Coverage: Reach 10% by  2020</t>
  </si>
  <si>
    <t>Sweden</t>
  </si>
  <si>
    <t>Ukraine</t>
  </si>
  <si>
    <t>Marine/Coastal Protected Area Coverage: Increase from 6.5% to 10% by 2020</t>
  </si>
  <si>
    <t>Uruguay</t>
  </si>
  <si>
    <t>"Sea Surface" Conservation Area Coverage: Reach 2% by 2020</t>
  </si>
  <si>
    <t>Viet Nam</t>
  </si>
  <si>
    <t>94-95/128</t>
  </si>
  <si>
    <t>Marine/Coastal Conservation Area Coverage: Reach 27% by 2020</t>
  </si>
  <si>
    <t>Marine Protected Area Coverage: Double coverage by 2020 [[2016 level is 11km2]]</t>
  </si>
  <si>
    <t>C-1: Appropriately conserve and manage  10% of ocean areas and the like</t>
  </si>
  <si>
    <t>Marine protected areas cover 10% of the marine and coastal ecosystems in the country</t>
  </si>
  <si>
    <t>Protected Area Coverage (by type): Marine protected area reach 0.24% of the sea area by 2020</t>
  </si>
  <si>
    <t>Participants</t>
  </si>
  <si>
    <t>Federated States of Micronesia</t>
  </si>
  <si>
    <t>Republic of the Marshall Islands</t>
  </si>
  <si>
    <t>Republic of Palau</t>
  </si>
  <si>
    <t>Guam</t>
  </si>
  <si>
    <t>Other commitments</t>
  </si>
  <si>
    <t>British Virgin Islands</t>
  </si>
  <si>
    <t>Dominican Republic</t>
  </si>
  <si>
    <t>St Kitts and Nevis</t>
  </si>
  <si>
    <t>St Lucia</t>
  </si>
  <si>
    <t>St Vincent and the Grenadines</t>
  </si>
  <si>
    <t>Micronesia Challenge</t>
  </si>
  <si>
    <t xml:space="preserve">Caribbean Challenge Initiative </t>
  </si>
  <si>
    <t>Protecting and sustainably managing 20% of marine and coastal ecosystems by 2020</t>
  </si>
  <si>
    <t>Project ID</t>
  </si>
  <si>
    <t>Project Status</t>
  </si>
  <si>
    <t>Comments</t>
  </si>
  <si>
    <t>Project Approved</t>
  </si>
  <si>
    <t>Azerbaijan</t>
  </si>
  <si>
    <t>Concept Approved</t>
  </si>
  <si>
    <t>Djibouti</t>
  </si>
  <si>
    <t>Ecuador</t>
  </si>
  <si>
    <t>El Salvador</t>
  </si>
  <si>
    <t>Fiji</t>
  </si>
  <si>
    <t>Guatemala</t>
  </si>
  <si>
    <t>Haiti</t>
  </si>
  <si>
    <t>Kiribati</t>
  </si>
  <si>
    <t>South Africa</t>
  </si>
  <si>
    <t>Tuvalu</t>
  </si>
  <si>
    <t>Vanuatu</t>
  </si>
  <si>
    <t>Vietnam</t>
  </si>
  <si>
    <t>Cook Islands</t>
  </si>
  <si>
    <t>Marshall Islands</t>
  </si>
  <si>
    <t>Chile</t>
  </si>
  <si>
    <t>Pakistan</t>
  </si>
  <si>
    <t>Germany (CCAMLR)</t>
  </si>
  <si>
    <t>Total (national waters)</t>
  </si>
  <si>
    <t>#OceanAction14548</t>
  </si>
  <si>
    <t>#OceanAction15593</t>
  </si>
  <si>
    <t>#OceanAction15560</t>
  </si>
  <si>
    <t>#OceanAction15763</t>
  </si>
  <si>
    <t>#OceanAction16038</t>
  </si>
  <si>
    <t>Gov.uk press release</t>
  </si>
  <si>
    <t>French Polynesia</t>
  </si>
  <si>
    <t>Total (global)</t>
  </si>
  <si>
    <t>SPREP</t>
  </si>
  <si>
    <t>SIDS Action Platform</t>
  </si>
  <si>
    <t>Colombia</t>
  </si>
  <si>
    <t>Country or Area</t>
  </si>
  <si>
    <t>N/A</t>
  </si>
  <si>
    <t>62-63</t>
  </si>
  <si>
    <t>Algeria</t>
  </si>
  <si>
    <t>American Samoa</t>
  </si>
  <si>
    <t>Angola</t>
  </si>
  <si>
    <t>Anguilla</t>
  </si>
  <si>
    <t>Aruba</t>
  </si>
  <si>
    <t>Australia</t>
  </si>
  <si>
    <t>Barbados</t>
  </si>
  <si>
    <t>Bermuda</t>
  </si>
  <si>
    <t>Bonaire, Sint Eustatius and Saba</t>
  </si>
  <si>
    <t>Bosnia and Herzegovina</t>
  </si>
  <si>
    <t>Bouvet Island</t>
  </si>
  <si>
    <t>British Indian Ocean Territory</t>
  </si>
  <si>
    <t>Brunei Darussalam</t>
  </si>
  <si>
    <t>Bulgaria</t>
  </si>
  <si>
    <t>Cabo Verde</t>
  </si>
  <si>
    <t>Cayman Islands</t>
  </si>
  <si>
    <t>Christmas Island</t>
  </si>
  <si>
    <t>Cocos (Keeling) Islands</t>
  </si>
  <si>
    <t>Côte d'Ivoire</t>
  </si>
  <si>
    <t>Croatia</t>
  </si>
  <si>
    <t>Curaçao</t>
  </si>
  <si>
    <t>Cyprus</t>
  </si>
  <si>
    <t>Democratic People's Republic of Korea</t>
  </si>
  <si>
    <t>Democratic Republic of the Congo</t>
  </si>
  <si>
    <t>Denmark</t>
  </si>
  <si>
    <t>Egypt</t>
  </si>
  <si>
    <t>Equatorial Guinea</t>
  </si>
  <si>
    <t>Estonia</t>
  </si>
  <si>
    <t>Falkland Islands (Malvinas)</t>
  </si>
  <si>
    <t>Faroe Islands</t>
  </si>
  <si>
    <t>France</t>
  </si>
  <si>
    <t>French Guiana</t>
  </si>
  <si>
    <t>French Southern and Antarctic Territories</t>
  </si>
  <si>
    <t>Gambia</t>
  </si>
  <si>
    <t>Germany</t>
  </si>
  <si>
    <t>Ghana</t>
  </si>
  <si>
    <t>Gibraltar</t>
  </si>
  <si>
    <t>Greece</t>
  </si>
  <si>
    <t>Greenland</t>
  </si>
  <si>
    <t>Guadeloupe</t>
  </si>
  <si>
    <t>Guernsey</t>
  </si>
  <si>
    <t>Guinea-Bissau</t>
  </si>
  <si>
    <t>Guyana</t>
  </si>
  <si>
    <t>Heard Island and McDonald Islands</t>
  </si>
  <si>
    <t>Iceland</t>
  </si>
  <si>
    <t>Iran (Islamic Republic of)</t>
  </si>
  <si>
    <t>Iraq</t>
  </si>
  <si>
    <t>Ireland</t>
  </si>
  <si>
    <t>Israel</t>
  </si>
  <si>
    <t>Italy</t>
  </si>
  <si>
    <t>Jersey</t>
  </si>
  <si>
    <t>Kazakhstan</t>
  </si>
  <si>
    <t>Kenya</t>
  </si>
  <si>
    <t>Latvia</t>
  </si>
  <si>
    <t>Libya</t>
  </si>
  <si>
    <t>Lithuania</t>
  </si>
  <si>
    <t>Malaysia</t>
  </si>
  <si>
    <t>Maldives</t>
  </si>
  <si>
    <t>Malta</t>
  </si>
  <si>
    <t>Martinique</t>
  </si>
  <si>
    <t>Mauritania</t>
  </si>
  <si>
    <t>Mauritius</t>
  </si>
  <si>
    <t>Mayotte</t>
  </si>
  <si>
    <t>Micronesia (Federated States of)</t>
  </si>
  <si>
    <t>Monaco</t>
  </si>
  <si>
    <t>Montserrat</t>
  </si>
  <si>
    <t>Mozambique</t>
  </si>
  <si>
    <t>Namibia</t>
  </si>
  <si>
    <t>Netherlands</t>
  </si>
  <si>
    <t>New Caledonia</t>
  </si>
  <si>
    <t>Nicaragua</t>
  </si>
  <si>
    <t>Nigeria</t>
  </si>
  <si>
    <t>Niue</t>
  </si>
  <si>
    <t>Norfolk Island</t>
  </si>
  <si>
    <t>Northern Mariana Islands</t>
  </si>
  <si>
    <t>Norway</t>
  </si>
  <si>
    <t>Oman</t>
  </si>
  <si>
    <t>Palau</t>
  </si>
  <si>
    <t>Panama</t>
  </si>
  <si>
    <t>Pitcairn</t>
  </si>
  <si>
    <t>Poland</t>
  </si>
  <si>
    <t>Portugal</t>
  </si>
  <si>
    <t>Puerto Rico</t>
  </si>
  <si>
    <t>Qatar</t>
  </si>
  <si>
    <t>Réunion</t>
  </si>
  <si>
    <t>Romania</t>
  </si>
  <si>
    <t>Saint Barthélemy</t>
  </si>
  <si>
    <t>Saint Helena</t>
  </si>
  <si>
    <t>Saint Kitts and Nevis</t>
  </si>
  <si>
    <t>Saint Lucia</t>
  </si>
  <si>
    <t>Saint Martin (French Part)</t>
  </si>
  <si>
    <t>Saint Pierre and Miquelon</t>
  </si>
  <si>
    <t>Saint Vincent and the Grenadines</t>
  </si>
  <si>
    <t>Sao Tome and Principe</t>
  </si>
  <si>
    <t>Singapore</t>
  </si>
  <si>
    <t>Sint Maarten (Dutch part)</t>
  </si>
  <si>
    <t>Slovenia</t>
  </si>
  <si>
    <t>Somalia</t>
  </si>
  <si>
    <t>South Georgia and the South Sandwich Islands</t>
  </si>
  <si>
    <t>Spain</t>
  </si>
  <si>
    <t>Suriname</t>
  </si>
  <si>
    <t>Svalbard and Jan Mayen Islands</t>
  </si>
  <si>
    <t>Syrian Arab Republic</t>
  </si>
  <si>
    <t>Taiwan</t>
  </si>
  <si>
    <t>Thailand</t>
  </si>
  <si>
    <t>Timor-Leste</t>
  </si>
  <si>
    <t>Tokelau</t>
  </si>
  <si>
    <t>Trinidad and Tobago</t>
  </si>
  <si>
    <t>Tunisia</t>
  </si>
  <si>
    <t>Turkey</t>
  </si>
  <si>
    <t>Turkmenistan</t>
  </si>
  <si>
    <t>Turks and Caicos Islands</t>
  </si>
  <si>
    <t>United Kingdom of Great Britain and Northern Ireland</t>
  </si>
  <si>
    <t>United States Minor Outlying Islands</t>
  </si>
  <si>
    <t>United States of America</t>
  </si>
  <si>
    <t>United States Virgin Islands</t>
  </si>
  <si>
    <t>Venezuela (Bolivarian Republic of)</t>
  </si>
  <si>
    <t>Wallis and Futuna Islands</t>
  </si>
  <si>
    <t>Western Sahara</t>
  </si>
  <si>
    <t>Yemen</t>
  </si>
  <si>
    <t>NBSAP target (%) for 2020</t>
  </si>
  <si>
    <r>
      <t xml:space="preserve">Added by 2019 and 2020, respectively (area for Ascension </t>
    </r>
    <r>
      <rPr>
        <b/>
        <sz val="10"/>
        <color indexed="8"/>
        <rFont val="Calibri"/>
        <family val="2"/>
      </rPr>
      <t xml:space="preserve">220,000 </t>
    </r>
    <r>
      <rPr>
        <sz val="10"/>
        <color indexed="8"/>
        <rFont val="Calibri"/>
        <family val="2"/>
      </rPr>
      <t>as per communication with CBD PoWPA focal point 05/18/17)</t>
    </r>
  </si>
  <si>
    <t>Other Priority Actions including an increase in MPA cover - extent was not specified</t>
  </si>
  <si>
    <t>Marine conservation expanded to 15% of coastline (1200 ha)</t>
  </si>
  <si>
    <t>UNDP project</t>
  </si>
  <si>
    <t>#OceanAction18142</t>
  </si>
  <si>
    <t>Used 10% as a minimum protected</t>
  </si>
  <si>
    <t>#OceanAction18211</t>
  </si>
  <si>
    <t>#OceanAction18379</t>
  </si>
  <si>
    <t>#OceanAction19899</t>
  </si>
  <si>
    <t>#OceanAction20772</t>
  </si>
  <si>
    <t>6.4.1 Extent of MPAs enlarged by 2% in coastal areas.</t>
  </si>
  <si>
    <t>add 2%</t>
  </si>
  <si>
    <t>#OceanAction21136</t>
  </si>
  <si>
    <t xml:space="preserve">Designation of 10% to 30% of Tonga waters as no-take marine reserves </t>
  </si>
  <si>
    <t>#OceanAction21256</t>
  </si>
  <si>
    <t>Increase the total area designated for conservation to 10% of the islands in Tuvalu</t>
  </si>
  <si>
    <t>#OceanAction18259</t>
  </si>
  <si>
    <t>#OceanAction19023</t>
  </si>
  <si>
    <t>Also see ocean action #17923 and #19018</t>
  </si>
  <si>
    <t xml:space="preserve">To amend title 24 of the Code of the Federated States of Micronesia, by inserting a new section 505, that declares as a closed area, the twelve mile area seaward of the territorial sea, not to extend beyond twenty-four nautical miles from the baseline </t>
  </si>
  <si>
    <t>#OceanAction16676</t>
  </si>
  <si>
    <t>#OceanAction20294</t>
  </si>
  <si>
    <t>#OceanAction21472</t>
  </si>
  <si>
    <t>Ascension and Tristan de Cunha (UK)</t>
  </si>
  <si>
    <t>Addition in national waters (%)</t>
  </si>
  <si>
    <t>National priority actions</t>
  </si>
  <si>
    <t>Estimated total in 2020: current + commitments</t>
  </si>
  <si>
    <t>Addition in  global ocean (%)</t>
  </si>
  <si>
    <r>
      <t xml:space="preserve">By 2020, </t>
    </r>
    <r>
      <rPr>
        <sz val="10"/>
        <color indexed="8"/>
        <rFont val="Calibri"/>
        <family val="2"/>
      </rPr>
      <t xml:space="preserve">3 PAs will be created </t>
    </r>
  </si>
  <si>
    <r>
      <t>Area to be added (km</t>
    </r>
    <r>
      <rPr>
        <b/>
        <vertAlign val="superscript"/>
        <sz val="11"/>
        <color theme="1"/>
        <rFont val="Calibri"/>
        <family val="2"/>
        <scheme val="minor"/>
      </rPr>
      <t>2</t>
    </r>
    <r>
      <rPr>
        <b/>
        <sz val="11"/>
        <color theme="1"/>
        <rFont val="Calibri"/>
        <family val="2"/>
        <scheme val="minor"/>
      </rPr>
      <t>)</t>
    </r>
  </si>
  <si>
    <t>Link to Ocean Action</t>
  </si>
  <si>
    <t>Timor-Leste/Indonesia</t>
  </si>
  <si>
    <t>Create a Marine Managed Area at the size of the EEZ</t>
  </si>
  <si>
    <t>EEZ is 4,795,468.1 sq km, 207 sq km already protected.</t>
  </si>
  <si>
    <t>Total (ABNJ)</t>
  </si>
  <si>
    <t>Ocean Conference Voluntary Commitment</t>
  </si>
  <si>
    <t>NBSAP target</t>
  </si>
  <si>
    <t>360,594 ha</t>
  </si>
  <si>
    <t>Commonwealth of the Northern Marianas Islands</t>
  </si>
  <si>
    <t>Peurto Rico</t>
  </si>
  <si>
    <t>TOTAL additions from both Challenges:</t>
  </si>
  <si>
    <t>Action</t>
  </si>
  <si>
    <r>
      <t>Have a plan to</t>
    </r>
    <r>
      <rPr>
        <sz val="10"/>
        <color indexed="8"/>
        <rFont val="Calibri"/>
        <family val="2"/>
      </rPr>
      <t xml:space="preserve"> establish marine PA (No specific percentage as the national target for marine  )</t>
    </r>
  </si>
  <si>
    <t xml:space="preserve">To strengthen MPAs (specific actions include improving the number, area and percentage of marine and coastal NRs, strengthening the conservation of mangroves, coral reefs and other ecosystems) </t>
  </si>
  <si>
    <r>
      <t xml:space="preserve">Process in place to </t>
    </r>
    <r>
      <rPr>
        <sz val="10"/>
        <color indexed="8"/>
        <rFont val="Calibri"/>
        <family val="2"/>
      </rPr>
      <t xml:space="preserve">declare 2 -3 offshore marine protected areas (Offshore Fisheries Management Decree), in the Vatu-i-ra Seascape, Lau seascape and Great Sea Reef. Fisheries Department formally gazetted shark reefs and is looking at 4 more to be gazette under Section 9 of the Fisheries Act. </t>
    </r>
  </si>
  <si>
    <t>Nine proposed protected areas.</t>
  </si>
  <si>
    <t xml:space="preserve">Carry out an assessment of the coastal and marine sector and identify and designate the areas that need to be protected </t>
  </si>
  <si>
    <t>Source</t>
  </si>
  <si>
    <t>GEF 5 project - Improved management effectiveness of new marine conservation areas</t>
  </si>
  <si>
    <r>
      <t>3 marine areas planned - to cover about</t>
    </r>
    <r>
      <rPr>
        <sz val="10"/>
        <color indexed="8"/>
        <rFont val="Calibri"/>
        <family val="2"/>
      </rPr>
      <t xml:space="preserve"> 2000 km2</t>
    </r>
  </si>
  <si>
    <t>TOTAL commitments:</t>
  </si>
  <si>
    <t>1,100ha</t>
  </si>
  <si>
    <t>Global 
Ocean</t>
  </si>
  <si>
    <t>National 
Waters</t>
  </si>
  <si>
    <t>Protected areas covering at least 10% of the
marine area of biodiversity significance …</t>
  </si>
  <si>
    <t>53/81</t>
  </si>
  <si>
    <r>
      <t>Area (km</t>
    </r>
    <r>
      <rPr>
        <b/>
        <vertAlign val="superscript"/>
        <sz val="11"/>
        <color theme="1"/>
        <rFont val="Calibri"/>
        <family val="2"/>
        <scheme val="minor"/>
      </rPr>
      <t>2</t>
    </r>
    <r>
      <rPr>
        <b/>
        <sz val="11"/>
        <color theme="1"/>
        <rFont val="Calibri"/>
        <family val="2"/>
        <scheme val="minor"/>
      </rPr>
      <t>) of PAs 
(Jan 2019)</t>
    </r>
  </si>
  <si>
    <t>% PA cover Jan 2019</t>
  </si>
  <si>
    <t>ABNJ/Antarctica</t>
  </si>
  <si>
    <t>Clipperton Island</t>
  </si>
  <si>
    <t>Nauru</t>
  </si>
  <si>
    <t>by 2030</t>
  </si>
  <si>
    <t>by 2021</t>
  </si>
  <si>
    <t>by 2025</t>
  </si>
  <si>
    <t>by 2022</t>
  </si>
  <si>
    <t>by 2028</t>
  </si>
  <si>
    <t>by 2026</t>
  </si>
  <si>
    <r>
      <t>Increase marine protection</t>
    </r>
    <r>
      <rPr>
        <sz val="10"/>
        <color indexed="8"/>
        <rFont val="Calibri"/>
        <family val="2"/>
      </rPr>
      <t xml:space="preserve"> </t>
    </r>
    <r>
      <rPr>
        <b/>
        <sz val="10"/>
        <color indexed="8"/>
        <rFont val="Calibri"/>
        <family val="2"/>
      </rPr>
      <t>by 1.4%</t>
    </r>
    <r>
      <rPr>
        <sz val="10"/>
        <color indexed="8"/>
        <rFont val="Calibri"/>
        <family val="2"/>
      </rPr>
      <t xml:space="preserve"> (2016-2020)</t>
    </r>
  </si>
  <si>
    <r>
      <t xml:space="preserve">A national network of terrestrial and marine protected areas will be created through a </t>
    </r>
    <r>
      <rPr>
        <sz val="10"/>
        <color indexed="8"/>
        <rFont val="Calibri"/>
        <family val="2"/>
      </rPr>
      <t xml:space="preserve">GEF / UNDP project, covering </t>
    </r>
    <r>
      <rPr>
        <b/>
        <sz val="10"/>
        <color indexed="8"/>
        <rFont val="Calibri"/>
        <family val="2"/>
      </rPr>
      <t>over 21%</t>
    </r>
    <r>
      <rPr>
        <sz val="10"/>
        <color indexed="8"/>
        <rFont val="Calibri"/>
        <family val="2"/>
      </rPr>
      <t xml:space="preserve"> of marine territory</t>
    </r>
  </si>
  <si>
    <r>
      <t xml:space="preserve">Increase the number of submission of areas for official PA designation / and increase in </t>
    </r>
    <r>
      <rPr>
        <sz val="10"/>
        <color indexed="8"/>
        <rFont val="Calibri"/>
        <family val="2"/>
      </rPr>
      <t>marine ecosystem representation of</t>
    </r>
    <r>
      <rPr>
        <b/>
        <sz val="10"/>
        <color indexed="8"/>
        <rFont val="Calibri"/>
        <family val="2"/>
      </rPr>
      <t xml:space="preserve"> 3% (10,973 km2)</t>
    </r>
  </si>
  <si>
    <r>
      <t xml:space="preserve">New marine PAs in next five years will </t>
    </r>
    <r>
      <rPr>
        <sz val="10"/>
        <color indexed="8"/>
        <rFont val="Calibri"/>
        <family val="2"/>
      </rPr>
      <t xml:space="preserve">reach </t>
    </r>
    <r>
      <rPr>
        <b/>
        <sz val="10"/>
        <color indexed="8"/>
        <rFont val="Calibri"/>
        <family val="2"/>
      </rPr>
      <t xml:space="preserve">5% </t>
    </r>
    <r>
      <rPr>
        <sz val="10"/>
        <color indexed="8"/>
        <rFont val="Calibri"/>
        <family val="2"/>
      </rPr>
      <t>protection level.</t>
    </r>
  </si>
  <si>
    <r>
      <t xml:space="preserve">Operationalized protected area system on three selected areas that cover a total of 10,098.6km2 will be established - including two Marine PAs with </t>
    </r>
    <r>
      <rPr>
        <b/>
        <sz val="10"/>
        <color theme="1"/>
        <rFont val="Calibri"/>
        <family val="2"/>
        <scheme val="minor"/>
      </rPr>
      <t xml:space="preserve">3,605.94 </t>
    </r>
    <r>
      <rPr>
        <sz val="10"/>
        <color theme="1"/>
        <rFont val="Calibri"/>
        <family val="2"/>
        <scheme val="minor"/>
      </rPr>
      <t xml:space="preserve">km2 </t>
    </r>
  </si>
  <si>
    <r>
      <t>Goal 1 = Increase the area of coastal and marine PAs: expanding 3 and creating 2 new areas for the Pacific (one is an EBSA, which is related to important areas for ecosystem services), this would significantly increase the area in marine-coastal ecosystems of the Pacific coast from 7,042.44 to 164,297.40 hectares (</t>
    </r>
    <r>
      <rPr>
        <b/>
        <sz val="10"/>
        <color theme="1"/>
        <rFont val="Calibri"/>
        <family val="2"/>
        <scheme val="minor"/>
      </rPr>
      <t>1,573.5 km2</t>
    </r>
    <r>
      <rPr>
        <sz val="10"/>
        <color theme="1"/>
        <rFont val="Calibri"/>
        <family val="2"/>
        <scheme val="minor"/>
      </rPr>
      <t xml:space="preserve"> increase)</t>
    </r>
  </si>
  <si>
    <r>
      <t>By 2020, Lebanon will achieve the 11th Aichi target by having</t>
    </r>
    <r>
      <rPr>
        <sz val="10"/>
        <color indexed="8"/>
        <rFont val="Calibri"/>
        <family val="2"/>
      </rPr>
      <t xml:space="preserve"> </t>
    </r>
    <r>
      <rPr>
        <b/>
        <sz val="10"/>
        <color indexed="8"/>
        <rFont val="Calibri"/>
        <family val="2"/>
      </rPr>
      <t>10%</t>
    </r>
    <r>
      <rPr>
        <sz val="10"/>
        <color indexed="8"/>
        <rFont val="Calibri"/>
        <family val="2"/>
      </rPr>
      <t xml:space="preserve"> as marine protected areas by: 
1. Finalizing the designation of 2 marine protected areas and starting their official work.</t>
    </r>
  </si>
  <si>
    <r>
      <t xml:space="preserve">Ensure </t>
    </r>
    <r>
      <rPr>
        <b/>
        <sz val="10"/>
        <color indexed="8"/>
        <rFont val="Calibri"/>
        <family val="2"/>
      </rPr>
      <t>5-7%</t>
    </r>
    <r>
      <rPr>
        <sz val="10"/>
        <color indexed="8"/>
        <rFont val="Calibri"/>
        <family val="2"/>
      </rPr>
      <t xml:space="preserve"> coastal and marine landscapes are protected - especially as protected areas</t>
    </r>
  </si>
  <si>
    <r>
      <t xml:space="preserve">In 2016 Tun Mustapha will be gazetted to </t>
    </r>
    <r>
      <rPr>
        <sz val="10"/>
        <rFont val="Calibri"/>
        <family val="2"/>
      </rPr>
      <t xml:space="preserve">cover </t>
    </r>
    <r>
      <rPr>
        <b/>
        <sz val="10"/>
        <rFont val="Calibri"/>
        <family val="2"/>
      </rPr>
      <t xml:space="preserve">9000km2 </t>
    </r>
  </si>
  <si>
    <t>Cabinet approval</t>
  </si>
  <si>
    <t>Area of expansion provided by CBD NFP</t>
  </si>
  <si>
    <r>
      <t xml:space="preserve">Legally designate the Narrows Marine Management Area (NMMA): Outcome = </t>
    </r>
    <r>
      <rPr>
        <sz val="10"/>
        <color indexed="8"/>
        <rFont val="Calibri"/>
        <family val="2"/>
      </rPr>
      <t>Marine area to reach</t>
    </r>
    <r>
      <rPr>
        <b/>
        <sz val="10"/>
        <color indexed="8"/>
        <rFont val="Calibri"/>
        <family val="2"/>
      </rPr>
      <t xml:space="preserve"> 10%</t>
    </r>
  </si>
  <si>
    <r>
      <t xml:space="preserve">Conserve </t>
    </r>
    <r>
      <rPr>
        <sz val="10"/>
        <color indexed="8"/>
        <rFont val="Calibri"/>
        <family val="2"/>
      </rPr>
      <t xml:space="preserve">at least </t>
    </r>
    <r>
      <rPr>
        <b/>
        <sz val="10"/>
        <color indexed="8"/>
        <rFont val="Calibri"/>
        <family val="2"/>
      </rPr>
      <t>10%</t>
    </r>
    <r>
      <rPr>
        <sz val="10"/>
        <color indexed="8"/>
        <rFont val="Calibri"/>
        <family val="2"/>
      </rPr>
      <t xml:space="preserve"> coastal and marine area</t>
    </r>
  </si>
  <si>
    <r>
      <t xml:space="preserve">By 2020, </t>
    </r>
    <r>
      <rPr>
        <b/>
        <sz val="10"/>
        <color indexed="8"/>
        <rFont val="Calibri"/>
        <family val="2"/>
      </rPr>
      <t>2%</t>
    </r>
    <r>
      <rPr>
        <sz val="10"/>
        <color indexed="8"/>
        <rFont val="Calibri"/>
        <family val="2"/>
      </rPr>
      <t xml:space="preserve"> of marine waters will be protected through the National System of Protected Areas (SNAP) and other area-based conservation measures </t>
    </r>
  </si>
  <si>
    <r>
      <t>From 22 Proposed Pas: addition of</t>
    </r>
    <r>
      <rPr>
        <b/>
        <sz val="10"/>
        <color theme="1"/>
        <rFont val="Calibri"/>
        <family val="2"/>
        <scheme val="minor"/>
      </rPr>
      <t xml:space="preserve"> 273 km2</t>
    </r>
    <r>
      <rPr>
        <sz val="10"/>
        <color theme="1"/>
        <rFont val="Calibri"/>
        <family val="2"/>
        <scheme val="minor"/>
      </rPr>
      <t xml:space="preserve"> in marine protection</t>
    </r>
  </si>
  <si>
    <t>Micronesia Challenge Total:</t>
  </si>
  <si>
    <t>Total from all other additions:</t>
  </si>
  <si>
    <t>Total Marine Area (km2)</t>
  </si>
  <si>
    <r>
      <t xml:space="preserve">CCAMLR members would have to approve this proposal unanimously </t>
    </r>
    <r>
      <rPr>
        <b/>
        <sz val="10"/>
        <color theme="1"/>
        <rFont val="Calibri"/>
        <family val="2"/>
        <scheme val="minor"/>
      </rPr>
      <t>(no decision at Oct 2018 mtg; next mtg in Oct 2019)</t>
    </r>
  </si>
  <si>
    <r>
      <t>Announcement of other effective area based conservation measures that contribute to Canadas marine conservation targets (</t>
    </r>
    <r>
      <rPr>
        <b/>
        <sz val="10"/>
        <color theme="1"/>
        <rFont val="Calibri"/>
        <family val="2"/>
        <scheme val="minor"/>
      </rPr>
      <t>26,000km2</t>
    </r>
    <r>
      <rPr>
        <sz val="10"/>
        <color theme="1"/>
        <rFont val="Calibri"/>
        <family val="2"/>
        <scheme val="minor"/>
      </rPr>
      <t>)</t>
    </r>
  </si>
  <si>
    <r>
      <t xml:space="preserve">Creation of the Cape Horn Marine Protected Area, will encompass approximately </t>
    </r>
    <r>
      <rPr>
        <b/>
        <sz val="10"/>
        <color theme="1"/>
        <rFont val="Calibri"/>
        <family val="2"/>
        <scheme val="minor"/>
      </rPr>
      <t>15 million hectares</t>
    </r>
    <r>
      <rPr>
        <sz val="10"/>
        <color theme="1"/>
        <rFont val="Calibri"/>
        <family val="2"/>
        <scheme val="minor"/>
      </rPr>
      <t xml:space="preserve"> of marine ecosystems.  </t>
    </r>
  </si>
  <si>
    <r>
      <t xml:space="preserve">MPA in the Weddell-Sea, Antarctica - The German proposal refers to an area of around </t>
    </r>
    <r>
      <rPr>
        <b/>
        <sz val="10"/>
        <color theme="1"/>
        <rFont val="Calibri"/>
        <family val="2"/>
        <scheme val="minor"/>
      </rPr>
      <t>1.8 million square kilometers.</t>
    </r>
    <r>
      <rPr>
        <sz val="10"/>
        <color theme="1"/>
        <rFont val="Calibri"/>
        <family val="2"/>
        <scheme val="minor"/>
      </rPr>
      <t xml:space="preserve"> </t>
    </r>
  </si>
  <si>
    <r>
      <t xml:space="preserve">Aiming to further expand our marine protected areas network … the coverage of marine protected areas in the territorial waters of Greece, will approximately raise up to a scale of </t>
    </r>
    <r>
      <rPr>
        <b/>
        <sz val="10"/>
        <color theme="1"/>
        <rFont val="Calibri"/>
        <family val="2"/>
        <scheme val="minor"/>
      </rPr>
      <t>20%</t>
    </r>
  </si>
  <si>
    <r>
      <t xml:space="preserve">To effectively conserve and manage </t>
    </r>
    <r>
      <rPr>
        <b/>
        <sz val="10"/>
        <color theme="1"/>
        <rFont val="Calibri"/>
        <family val="2"/>
        <scheme val="minor"/>
      </rPr>
      <t>25% percent</t>
    </r>
    <r>
      <rPr>
        <sz val="10"/>
        <color theme="1"/>
        <rFont val="Calibri"/>
        <family val="2"/>
        <scheme val="minor"/>
      </rPr>
      <t xml:space="preserve"> of Grenada's nearshore marine environment. </t>
    </r>
  </si>
  <si>
    <r>
      <rPr>
        <b/>
        <sz val="10"/>
        <color theme="1"/>
        <rFont val="Calibri"/>
        <family val="2"/>
        <scheme val="minor"/>
      </rPr>
      <t xml:space="preserve">4.3 million ha </t>
    </r>
    <r>
      <rPr>
        <sz val="10"/>
        <color theme="1"/>
        <rFont val="Calibri"/>
        <family val="2"/>
        <scheme val="minor"/>
      </rPr>
      <t>of marine conservation established by Dec 2019</t>
    </r>
  </si>
  <si>
    <r>
      <t>Declaration of the Pedro Cays and surrounding waters and the Black River landscape/seascape as marine protected areas under the Natural Resources Conservation Authority Act (approximately</t>
    </r>
    <r>
      <rPr>
        <b/>
        <sz val="10"/>
        <color theme="1"/>
        <rFont val="Calibri"/>
        <family val="2"/>
        <scheme val="minor"/>
      </rPr>
      <t xml:space="preserve"> 8,040 km2</t>
    </r>
    <r>
      <rPr>
        <sz val="10"/>
        <color theme="1"/>
        <rFont val="Calibri"/>
        <family val="2"/>
        <scheme val="minor"/>
      </rPr>
      <t>)</t>
    </r>
  </si>
  <si>
    <r>
      <t xml:space="preserve">The coverage of new nearshore marine protected areas is increased by </t>
    </r>
    <r>
      <rPr>
        <b/>
        <sz val="10"/>
        <color theme="1"/>
        <rFont val="Calibri"/>
        <family val="2"/>
        <scheme val="minor"/>
      </rPr>
      <t>30,550 ha</t>
    </r>
    <r>
      <rPr>
        <sz val="10"/>
        <color theme="1"/>
        <rFont val="Calibri"/>
        <family val="2"/>
        <scheme val="minor"/>
      </rPr>
      <t xml:space="preserve">.  </t>
    </r>
  </si>
  <si>
    <r>
      <t xml:space="preserve">Government of Montserrat commits to protecting </t>
    </r>
    <r>
      <rPr>
        <b/>
        <sz val="10"/>
        <color theme="1"/>
        <rFont val="Calibri"/>
        <family val="2"/>
        <scheme val="minor"/>
      </rPr>
      <t xml:space="preserve">10% to 30% </t>
    </r>
    <r>
      <rPr>
        <sz val="10"/>
        <color theme="1"/>
        <rFont val="Calibri"/>
        <family val="2"/>
        <scheme val="minor"/>
      </rPr>
      <t xml:space="preserve">of its marine environment as a no-take marine reserve </t>
    </r>
  </si>
  <si>
    <r>
      <t xml:space="preserve">Milestone 1: Protect 15% (June '18); Milestone 2: Protect an additional 7.5% (Dec '18); Milestone 3: Protect an additional 7.5% (Total = </t>
    </r>
    <r>
      <rPr>
        <b/>
        <sz val="10"/>
        <color theme="1"/>
        <rFont val="Calibri"/>
        <family val="2"/>
        <scheme val="minor"/>
      </rPr>
      <t xml:space="preserve">30% of EEZ </t>
    </r>
    <r>
      <rPr>
        <sz val="10"/>
        <color theme="1"/>
        <rFont val="Calibri"/>
        <family val="2"/>
        <scheme val="minor"/>
      </rPr>
      <t>protected)</t>
    </r>
  </si>
  <si>
    <r>
      <t xml:space="preserve">Increase marine protected area coverage by an additional </t>
    </r>
    <r>
      <rPr>
        <b/>
        <sz val="10"/>
        <color theme="1"/>
        <rFont val="Calibri"/>
        <family val="2"/>
        <scheme val="minor"/>
      </rPr>
      <t xml:space="preserve">1000 km2 </t>
    </r>
    <r>
      <rPr>
        <sz val="10"/>
        <color theme="1"/>
        <rFont val="Calibri"/>
        <family val="2"/>
        <scheme val="minor"/>
      </rPr>
      <t xml:space="preserve">including 15 shipwrecks </t>
    </r>
  </si>
  <si>
    <r>
      <t xml:space="preserve">Proclaiming </t>
    </r>
    <r>
      <rPr>
        <b/>
        <sz val="10"/>
        <color theme="1"/>
        <rFont val="Calibri"/>
        <family val="2"/>
        <scheme val="minor"/>
      </rPr>
      <t xml:space="preserve">7,000 sq.km. </t>
    </r>
    <r>
      <rPr>
        <sz val="10"/>
        <color theme="1"/>
        <rFont val="Calibri"/>
        <family val="2"/>
        <scheme val="minor"/>
      </rPr>
      <t xml:space="preserve">of protected areas in 5 years </t>
    </r>
  </si>
  <si>
    <r>
      <t xml:space="preserve">New MPAs designated in Indonesia and Timor Leste covering </t>
    </r>
    <r>
      <rPr>
        <b/>
        <sz val="10"/>
        <color theme="1"/>
        <rFont val="Calibri"/>
        <family val="2"/>
        <scheme val="minor"/>
      </rPr>
      <t>645,000 ha</t>
    </r>
    <r>
      <rPr>
        <sz val="10"/>
        <color theme="1"/>
        <rFont val="Calibri"/>
        <family val="2"/>
        <scheme val="minor"/>
      </rPr>
      <t xml:space="preserve"> in area including approximately 220,000 ha in mangrove ecosystems with corresponding management plans prepared. </t>
    </r>
    <r>
      <rPr>
        <b/>
        <sz val="10"/>
        <color indexed="8"/>
        <rFont val="Calibri"/>
        <family val="2"/>
      </rPr>
      <t xml:space="preserve"> </t>
    </r>
  </si>
  <si>
    <t>removed 22,333km2 (GEF project #5171) and 10,397.38km2 (added b/w Ocean Conference and May 2018)</t>
  </si>
  <si>
    <r>
      <t>Nearshore (up to 12nm) area is 4670km</t>
    </r>
    <r>
      <rPr>
        <vertAlign val="superscript"/>
        <sz val="10"/>
        <color theme="1"/>
        <rFont val="Calibri"/>
        <family val="2"/>
        <scheme val="minor"/>
      </rPr>
      <t>2</t>
    </r>
    <r>
      <rPr>
        <sz val="10"/>
        <color theme="1"/>
        <rFont val="Calibri"/>
        <family val="2"/>
        <scheme val="minor"/>
      </rPr>
      <t xml:space="preserve"> (26km</t>
    </r>
    <r>
      <rPr>
        <vertAlign val="superscript"/>
        <sz val="10"/>
        <color theme="1"/>
        <rFont val="Calibri"/>
        <family val="2"/>
        <scheme val="minor"/>
      </rPr>
      <t>2</t>
    </r>
    <r>
      <rPr>
        <sz val="10"/>
        <color theme="1"/>
        <rFont val="Calibri"/>
        <family val="2"/>
        <scheme val="minor"/>
      </rPr>
      <t xml:space="preserve"> already protected)</t>
    </r>
  </si>
  <si>
    <t>55-57</t>
  </si>
  <si>
    <t>101-102</t>
  </si>
  <si>
    <t>21/24</t>
  </si>
  <si>
    <t>Marine/Coastal Protected Area Coverage: Reach 20% by  2020</t>
  </si>
  <si>
    <t>14/38-39</t>
  </si>
  <si>
    <r>
      <rPr>
        <b/>
        <sz val="11"/>
        <color theme="1"/>
        <rFont val="Calibri"/>
        <family val="2"/>
        <scheme val="minor"/>
      </rPr>
      <t>Micronesia Challenge goal</t>
    </r>
    <r>
      <rPr>
        <sz val="11"/>
        <color theme="1"/>
        <rFont val="Calibri"/>
        <family val="2"/>
        <scheme val="minor"/>
      </rPr>
      <t xml:space="preserve"> (30% of marine area are part of effectively managed PA's) achieved by 2020</t>
    </r>
  </si>
  <si>
    <t>200,000 ha</t>
  </si>
  <si>
    <t>230</t>
  </si>
  <si>
    <t>Total marine conservation area reaches 20 million ha</t>
  </si>
  <si>
    <t>ABNJ</t>
  </si>
  <si>
    <t>Current Status (Jan 2019)</t>
  </si>
  <si>
    <r>
      <t xml:space="preserve">Approved </t>
    </r>
    <r>
      <rPr>
        <sz val="11"/>
        <color indexed="8"/>
        <rFont val="Calibri"/>
        <family val="2"/>
      </rPr>
      <t xml:space="preserve">GEF-5/GEF-6 projects </t>
    </r>
  </si>
  <si>
    <t>MPA targets in post-COP10 NBSAPs</t>
  </si>
  <si>
    <t>add 9,659 km2</t>
  </si>
  <si>
    <t>Marine Protected Area Coverage: 10 per cent of coastal and marine areas</t>
  </si>
  <si>
    <t xml:space="preserve">Marine/Coastal Conservation Area Coverage: 10 per cent of Sweden’s marine areas, by 2020 </t>
  </si>
  <si>
    <t>Marine/Coastal Protected Area Coverage: Reach 5% by 2030</t>
  </si>
  <si>
    <t>National Target 11: 5% of total marine area will come under PAs or ECAs</t>
  </si>
  <si>
    <t>Marine/Coastal Conservation Area Coverage: Reach at least 5% by 2025</t>
  </si>
  <si>
    <t>91/111</t>
  </si>
  <si>
    <t>2x</t>
  </si>
  <si>
    <t>29/50-51</t>
  </si>
  <si>
    <t>Target C1: By 2030, at least 10% of marine and coastal areas protected</t>
  </si>
  <si>
    <t>By 2030, PAs network secured and expanded to cover at least 5% of coastal and marine areas</t>
  </si>
  <si>
    <t>National Target 19: By 2030, at least 5% of coastal and marine areas</t>
  </si>
  <si>
    <t>40</t>
  </si>
  <si>
    <t>44/60-61</t>
  </si>
  <si>
    <t>10 per cent of Coastal and Marine Areas are Conserved through Systems of Protected Areas</t>
  </si>
  <si>
    <t>By 2022, at least 5% of coastal and marine areas</t>
  </si>
  <si>
    <t xml:space="preserve">In 2025, 15% of coastal and marine areas ... are conserved </t>
  </si>
  <si>
    <t>70/82</t>
  </si>
  <si>
    <t xml:space="preserve">Target 6: 10% of coastal and marine areas, are conserved </t>
  </si>
  <si>
    <t>14/57</t>
  </si>
  <si>
    <t>10 per cent of coastal and marine areas</t>
  </si>
  <si>
    <t>55/65</t>
  </si>
  <si>
    <t>F2. Declare coastal and marine protected areas (at least 10% of the total area)</t>
  </si>
  <si>
    <t>Target 11A:  include up to 5% of marine ecosystems and  in conservation areas.</t>
  </si>
  <si>
    <t>57/91</t>
  </si>
  <si>
    <t>52-53</t>
  </si>
  <si>
    <t>The remaining Parties had NBSAPs providing no clear quantitative target for protected areas or addressed the qualitative aspects of Target 11</t>
  </si>
  <si>
    <t>84-87</t>
  </si>
  <si>
    <t>By 2026, 10 per cent of coastal and marine areas … are conserved</t>
  </si>
  <si>
    <t>National Target 8: 14% of coastal and marine areas, are conserved …</t>
  </si>
  <si>
    <t>By 2030, representative examples of at 10% of coastal and marine areas ... are conserved through</t>
  </si>
  <si>
    <t>add 8,388ha</t>
  </si>
  <si>
    <t>add 360,594ha</t>
  </si>
  <si>
    <t>200,000 km2</t>
  </si>
  <si>
    <t>Other sites (incl Micronesia &amp; Caribbean Challenges)</t>
  </si>
  <si>
    <t>817,000 ha</t>
  </si>
  <si>
    <r>
      <t xml:space="preserve">area of ​​the </t>
    </r>
    <r>
      <rPr>
        <b/>
        <sz val="11"/>
        <color theme="1"/>
        <rFont val="Calibri"/>
        <family val="2"/>
        <scheme val="minor"/>
      </rPr>
      <t>continental</t>
    </r>
    <r>
      <rPr>
        <sz val="11"/>
        <color theme="1"/>
        <rFont val="Calibri"/>
        <family val="2"/>
        <scheme val="minor"/>
      </rPr>
      <t xml:space="preserve"> marine under conservation or environmental management incr to</t>
    </r>
    <r>
      <rPr>
        <b/>
        <sz val="11"/>
        <color theme="1"/>
        <rFont val="Calibri"/>
        <family val="2"/>
        <scheme val="minor"/>
      </rPr>
      <t xml:space="preserve"> 817,000 ha </t>
    </r>
  </si>
  <si>
    <t>817,000ha</t>
  </si>
  <si>
    <t>210,353km2</t>
  </si>
  <si>
    <t xml:space="preserve">National Target 4: By 2030, at least 20% of natural marine ecosystems are protected </t>
  </si>
  <si>
    <t>42-43</t>
  </si>
  <si>
    <t>At least 10% of coastal-marine ecosystems are conserved …</t>
  </si>
  <si>
    <t>53/93</t>
  </si>
  <si>
    <r>
      <t>Area (km</t>
    </r>
    <r>
      <rPr>
        <b/>
        <vertAlign val="superscript"/>
        <sz val="11"/>
        <rFont val="Calibri"/>
        <family val="2"/>
        <scheme val="minor"/>
      </rPr>
      <t>2</t>
    </r>
    <r>
      <rPr>
        <b/>
        <sz val="11"/>
        <rFont val="Calibri"/>
        <family val="2"/>
        <scheme val="minor"/>
      </rPr>
      <t>) needed to reach target (removing other commitments)</t>
    </r>
  </si>
  <si>
    <t>Addition in ABNJ (%)</t>
  </si>
  <si>
    <t>10% of marine areas of Gilbert and Line groups (total area of EEZ around Gilbert and Line Islands is ~2.7 million km2, w/ 500km2 already protected)</t>
  </si>
  <si>
    <t>Update in October 2017 - thie GEF project will now support the creation of a 12.7 mil ha large-scale MPA</t>
  </si>
  <si>
    <r>
      <t>Entire area of contiguous zone 12nm to 24nm (</t>
    </r>
    <r>
      <rPr>
        <b/>
        <sz val="10"/>
        <color theme="1"/>
        <rFont val="Calibri"/>
        <family val="2"/>
        <scheme val="minor"/>
      </rPr>
      <t>183,250.4km2</t>
    </r>
    <r>
      <rPr>
        <sz val="10"/>
        <color theme="1"/>
        <rFont val="Calibri"/>
        <family val="2"/>
        <scheme val="minor"/>
      </rPr>
      <t>)</t>
    </r>
  </si>
  <si>
    <t>The overall goal of the Challenge is to effectively conserve at least 30% of the near-shore* marine resources</t>
  </si>
  <si>
    <t>*nearshore area assumed to include: territorial seas (to 12nm), internal and archipelagic waters</t>
  </si>
  <si>
    <t>*Current status of protected area coverage is taken from UNEP-WCMC (2019) Global statistics from the World Database on Protected Areas (WDPA), January 2019. Cambridge, UK: UNEP- WCMC. Updated figures can be accessed from https://protectedplanet.net/</t>
  </si>
  <si>
    <t>***Names of territories included in this document do not imply endorsement or acceptance by the United Nations</t>
  </si>
  <si>
    <r>
      <rPr>
        <b/>
        <sz val="11"/>
        <color theme="1"/>
        <rFont val="Calibri"/>
        <family val="2"/>
        <scheme val="minor"/>
      </rPr>
      <t xml:space="preserve">Other commitments </t>
    </r>
    <r>
      <rPr>
        <sz val="11"/>
        <color theme="1"/>
        <rFont val="Calibri"/>
        <family val="2"/>
        <scheme val="minor"/>
      </rPr>
      <t>include: MPA commitments communicated outside of the above sources, and commitments made through the Micronesia Challenge and the Caribbean Challenge Initiative. The Micronesia Challenge is a commitment by five Micronesian territories to effectively conserve at least 30% of their near-shore marine resources by 2020 (http://themicronesiachallenge.blogspot.ca/p/about.html), while the Caribbean Challenge Initiative, involving 11 Caribbean governments, aims to effectively conserve and manage at least 20% of the marine and coastal environment by 2020 (http://caribbeanchallengeinitiative.org/)</t>
    </r>
  </si>
  <si>
    <r>
      <t>"</t>
    </r>
    <r>
      <rPr>
        <b/>
        <sz val="11"/>
        <color theme="1"/>
        <rFont val="Calibri"/>
        <family val="2"/>
        <scheme val="minor"/>
      </rPr>
      <t>Voluntary commitments</t>
    </r>
    <r>
      <rPr>
        <sz val="11"/>
        <color theme="1"/>
        <rFont val="Calibri"/>
        <family val="2"/>
        <scheme val="minor"/>
      </rPr>
      <t xml:space="preserve"> for The </t>
    </r>
    <r>
      <rPr>
        <b/>
        <sz val="11"/>
        <color theme="1"/>
        <rFont val="Calibri"/>
        <family val="2"/>
        <scheme val="minor"/>
      </rPr>
      <t>Ocean Conference</t>
    </r>
    <r>
      <rPr>
        <sz val="11"/>
        <color theme="1"/>
        <rFont val="Calibri"/>
        <family val="2"/>
        <scheme val="minor"/>
      </rPr>
      <t xml:space="preserve"> are initiatives voluntarily undertaken by Governments, the United Nations system, other intergovernmental organizations, international and regional financial institutions, non-governmental organizations and civil society organizations, academic and research institutions, the scientific community, the private sector, philanthropic organizations and other actors - individually or in partnership - that aim to contribute to the implementation of Sustainable Development Goal 14". Voluntary commitments that include the intention to expand marine protected areas, yet do not clearly specify the extent, are not included. See more online at: https://oceanconference.un.org/commitments/</t>
    </r>
  </si>
  <si>
    <r>
      <t xml:space="preserve">National priority actions </t>
    </r>
    <r>
      <rPr>
        <sz val="11"/>
        <color indexed="8"/>
        <rFont val="Calibri"/>
        <family val="2"/>
      </rPr>
      <t>were provided by Parties to the Convention through a series of regional capacity-building workshops carried out in 2015 and 2016; these workshops covered all developing country regions. Those actions which have been completed and are accounted for in the January 2019 release of the WDPA are not included. Actions which are covered by a GEF project are not counted here. Priority actions and opportunities for improving the status or Aichi Biodiversity Target 11 are provided in the annexes of the regional workshop reports, and are available online at: https://www.cbd.int/meetings/</t>
    </r>
  </si>
  <si>
    <t xml:space="preserve">UN Ocean Conference Voluntary commitments </t>
  </si>
  <si>
    <r>
      <t xml:space="preserve">Develop and implement, on a phased basis, the process to Protected Area designation, ensuring enforcement of the relevant legislation (Goal of protecting a total of </t>
    </r>
    <r>
      <rPr>
        <b/>
        <sz val="10"/>
        <color indexed="8"/>
        <rFont val="Calibri"/>
        <family val="2"/>
      </rPr>
      <t>20%</t>
    </r>
    <r>
      <rPr>
        <sz val="10"/>
        <color indexed="8"/>
        <rFont val="Calibri"/>
        <family val="2"/>
      </rPr>
      <t xml:space="preserve"> of near shore and coastal waters [assumed to cover territorial sea, Internal and Archipelagic Waters])</t>
    </r>
  </si>
  <si>
    <r>
      <t>**The total extent of national waters is taken from the Jan 2019 release of the WDPA. EEZ area of sub-national regions (Easter Island, Gilbert and Line Islands), territorial seas, internal and archipelagic waters, and contiguous zones which are taken from Flanders Marine Institute</t>
    </r>
    <r>
      <rPr>
        <b/>
        <sz val="11"/>
        <rFont val="Calibri"/>
        <family val="2"/>
        <scheme val="minor"/>
      </rPr>
      <t xml:space="preserve"> </t>
    </r>
    <r>
      <rPr>
        <sz val="11"/>
        <rFont val="Calibri"/>
        <family val="2"/>
        <scheme val="minor"/>
      </rPr>
      <t>(VLIZ, 2018). EEZ v10, contiguous zones, territorial seas, internal waters and archipelagic waters v2. Available online at http://www.marineregions.org/</t>
    </r>
  </si>
  <si>
    <r>
      <t xml:space="preserve">To increase the percentage of coverage by the declaration of new PAs, with a </t>
    </r>
    <r>
      <rPr>
        <sz val="10"/>
        <color indexed="8"/>
        <rFont val="Calibri"/>
        <family val="2"/>
      </rPr>
      <t xml:space="preserve">target of </t>
    </r>
    <r>
      <rPr>
        <b/>
        <sz val="10"/>
        <color indexed="8"/>
        <rFont val="Calibri"/>
        <family val="2"/>
      </rPr>
      <t>14%</t>
    </r>
    <r>
      <rPr>
        <sz val="10"/>
        <color indexed="8"/>
        <rFont val="Calibri"/>
        <family val="2"/>
      </rPr>
      <t xml:space="preserve"> for marine and coastal protected areas</t>
    </r>
  </si>
  <si>
    <r>
      <t xml:space="preserve">Proposed protected areas (managed by SWA or partner agencies) totaling </t>
    </r>
    <r>
      <rPr>
        <b/>
        <sz val="10"/>
        <color theme="1"/>
        <rFont val="Calibri"/>
        <family val="2"/>
        <scheme val="minor"/>
      </rPr>
      <t>11,614.33 sq km</t>
    </r>
    <r>
      <rPr>
        <sz val="10"/>
        <color theme="1"/>
        <rFont val="Calibri"/>
        <family val="2"/>
        <scheme val="minor"/>
      </rPr>
      <t xml:space="preserve"> in marine area</t>
    </r>
  </si>
  <si>
    <r>
      <t>Enhancing Coastal and Marine PAs coverage</t>
    </r>
    <r>
      <rPr>
        <sz val="10"/>
        <color indexed="8"/>
        <rFont val="Calibri"/>
        <family val="2"/>
      </rPr>
      <t xml:space="preserve"> by </t>
    </r>
    <r>
      <rPr>
        <b/>
        <sz val="10"/>
        <color indexed="8"/>
        <rFont val="Calibri"/>
        <family val="2"/>
      </rPr>
      <t>5000 Km2</t>
    </r>
  </si>
  <si>
    <r>
      <t xml:space="preserve">Finalize classification of current projects for 2 national marine parks off Campo and Bakassi representing </t>
    </r>
    <r>
      <rPr>
        <b/>
        <sz val="10"/>
        <color theme="1"/>
        <rFont val="Calibri"/>
        <family val="2"/>
        <scheme val="minor"/>
      </rPr>
      <t>5,160.53km2</t>
    </r>
  </si>
  <si>
    <r>
      <t>Marine and Coastal Protected Area coverage will be expanded from 3.28% (3968 sq km) to about 7% (8500 sq km) by declaring rest of the Sundarbans (IUCN category VI) under Protected Area network [</t>
    </r>
    <r>
      <rPr>
        <b/>
        <sz val="10"/>
        <color theme="1"/>
        <rFont val="Calibri"/>
        <family val="2"/>
        <scheme val="minor"/>
      </rPr>
      <t>4532 sq km increase]</t>
    </r>
  </si>
  <si>
    <t>Used 10% as a minimum protected (see also OceanAction #21468)</t>
  </si>
  <si>
    <t>Caribbean Challenge Total:</t>
  </si>
  <si>
    <t>By 2028: inshore (353km), offhsore (210 000km2 SA’s EEZ; 93,300km2 PEI EEZ)</t>
  </si>
  <si>
    <t>303,653km2</t>
  </si>
  <si>
    <r>
      <t>9,659 km2 of new MPAs created under 2016-2020 action plan (another 9,659km2 added</t>
    </r>
    <r>
      <rPr>
        <b/>
        <sz val="11"/>
        <rFont val="Calibri"/>
        <family val="2"/>
        <scheme val="minor"/>
      </rPr>
      <t xml:space="preserve"> by 2025</t>
    </r>
    <r>
      <rPr>
        <sz val="11"/>
        <rFont val="Calibri"/>
        <family val="2"/>
        <scheme val="minor"/>
      </rPr>
      <t>)</t>
    </r>
  </si>
  <si>
    <r>
      <t xml:space="preserve">4% of the marine area under some form of effective biodiversity management by 2018; and 10% </t>
    </r>
    <r>
      <rPr>
        <b/>
        <sz val="11"/>
        <color theme="1"/>
        <rFont val="Calibri"/>
        <family val="2"/>
        <scheme val="minor"/>
      </rPr>
      <t>by 2021</t>
    </r>
  </si>
  <si>
    <r>
      <t xml:space="preserve">Marine/Coastal Protected Area Coverage: 6% (by 2020) and </t>
    </r>
    <r>
      <rPr>
        <b/>
        <sz val="11"/>
        <rFont val="Calibri"/>
        <family val="2"/>
        <scheme val="minor"/>
      </rPr>
      <t>12% (by 2025)</t>
    </r>
  </si>
  <si>
    <t>NBSAPs from 8 Parties did not clearly differentiate between terrestrial and marine areas in their targets</t>
  </si>
  <si>
    <r>
      <t>Total EEZ area (km</t>
    </r>
    <r>
      <rPr>
        <b/>
        <vertAlign val="superscript"/>
        <sz val="11"/>
        <color theme="1"/>
        <rFont val="Calibri"/>
        <family val="2"/>
        <scheme val="minor"/>
      </rPr>
      <t>2</t>
    </r>
    <r>
      <rPr>
        <b/>
        <sz val="11"/>
        <color theme="1"/>
        <rFont val="Calibri"/>
        <family val="2"/>
        <scheme val="minor"/>
      </rPr>
      <t>)</t>
    </r>
  </si>
  <si>
    <r>
      <t>Area (km</t>
    </r>
    <r>
      <rPr>
        <b/>
        <vertAlign val="superscript"/>
        <sz val="11"/>
        <rFont val="Calibri"/>
        <family val="2"/>
        <scheme val="minor"/>
      </rPr>
      <t>2</t>
    </r>
    <r>
      <rPr>
        <b/>
        <sz val="11"/>
        <rFont val="Calibri"/>
        <family val="2"/>
        <scheme val="minor"/>
      </rPr>
      <t>) needed to reach target by 2020</t>
    </r>
  </si>
  <si>
    <r>
      <t>Net NBSAP contribution (km</t>
    </r>
    <r>
      <rPr>
        <b/>
        <vertAlign val="superscript"/>
        <sz val="11"/>
        <rFont val="Calibri"/>
        <family val="2"/>
        <scheme val="minor"/>
      </rPr>
      <t>2</t>
    </r>
    <r>
      <rPr>
        <b/>
        <sz val="11"/>
        <rFont val="Calibri"/>
        <family val="2"/>
        <scheme val="minor"/>
      </rPr>
      <t>)</t>
    </r>
  </si>
  <si>
    <r>
      <t>Priority Actions (km</t>
    </r>
    <r>
      <rPr>
        <b/>
        <vertAlign val="superscript"/>
        <sz val="11"/>
        <rFont val="Calibri"/>
        <family val="2"/>
      </rPr>
      <t>2</t>
    </r>
    <r>
      <rPr>
        <b/>
        <sz val="11"/>
        <rFont val="Calibri"/>
        <family val="2"/>
      </rPr>
      <t>)</t>
    </r>
  </si>
  <si>
    <r>
      <t>Approved GEF projects (km</t>
    </r>
    <r>
      <rPr>
        <b/>
        <vertAlign val="superscript"/>
        <sz val="11"/>
        <rFont val="Calibri"/>
        <family val="2"/>
      </rPr>
      <t>2</t>
    </r>
    <r>
      <rPr>
        <b/>
        <sz val="11"/>
        <rFont val="Calibri"/>
        <family val="2"/>
      </rPr>
      <t>)</t>
    </r>
  </si>
  <si>
    <r>
      <t>Net National Commitments (km</t>
    </r>
    <r>
      <rPr>
        <b/>
        <vertAlign val="superscript"/>
        <sz val="11"/>
        <rFont val="Calibri"/>
        <family val="2"/>
        <scheme val="minor"/>
      </rPr>
      <t>2</t>
    </r>
    <r>
      <rPr>
        <b/>
        <sz val="11"/>
        <rFont val="Calibri"/>
        <family val="2"/>
        <scheme val="minor"/>
      </rPr>
      <t>)</t>
    </r>
  </si>
  <si>
    <r>
      <t>UN Ocean Conference  Commitments (km</t>
    </r>
    <r>
      <rPr>
        <b/>
        <vertAlign val="superscript"/>
        <sz val="11"/>
        <rFont val="Calibri"/>
        <family val="2"/>
      </rPr>
      <t>2</t>
    </r>
    <r>
      <rPr>
        <b/>
        <sz val="11"/>
        <rFont val="Calibri"/>
        <family val="2"/>
      </rPr>
      <t>)</t>
    </r>
  </si>
  <si>
    <r>
      <t>Other Commitments (km</t>
    </r>
    <r>
      <rPr>
        <b/>
        <vertAlign val="superscript"/>
        <sz val="11"/>
        <rFont val="Calibri"/>
        <family val="2"/>
      </rPr>
      <t>2</t>
    </r>
    <r>
      <rPr>
        <b/>
        <sz val="11"/>
        <rFont val="Calibri"/>
        <family val="2"/>
      </rPr>
      <t>)</t>
    </r>
  </si>
  <si>
    <t xml:space="preserve">% cover if commitments are implemented </t>
  </si>
  <si>
    <r>
      <t>30,550 ha (</t>
    </r>
    <r>
      <rPr>
        <sz val="10"/>
        <color indexed="8"/>
        <rFont val="Calibri"/>
        <family val="2"/>
      </rPr>
      <t>Ocean Action #15593</t>
    </r>
    <r>
      <rPr>
        <sz val="10"/>
        <color theme="1"/>
        <rFont val="Calibri"/>
        <family val="2"/>
        <scheme val="minor"/>
      </rPr>
      <t>)</t>
    </r>
  </si>
  <si>
    <t>Expansion of MPAs under Operation Phakisa Programme by 2020 (increase ocean protection within the South African EEZ to 5%)</t>
  </si>
  <si>
    <t>Goal of protecting 30% of sea by 2020. From workshop submissions, was confirmed "30% is government commitment under SIDs for marine protection"</t>
  </si>
  <si>
    <t>1,256km2 (Ocean Action #14548 and GEF project #5069)</t>
  </si>
  <si>
    <t>1,100km2 (GEF project #5380)</t>
  </si>
  <si>
    <t>22,789km2 (Ocean Action #21136 and NBSAP target)</t>
  </si>
  <si>
    <t>22,789km2 (National priority action and GEF project #5078)</t>
  </si>
  <si>
    <t>1,522km2 (National Priority Action)</t>
  </si>
  <si>
    <t>7,222km2 (National Priority Action and NBSAP target)</t>
  </si>
  <si>
    <r>
      <t>Area (km</t>
    </r>
    <r>
      <rPr>
        <b/>
        <vertAlign val="superscript"/>
        <sz val="11"/>
        <color theme="1"/>
        <rFont val="Calibri"/>
        <family val="2"/>
        <scheme val="minor"/>
      </rPr>
      <t>2</t>
    </r>
    <r>
      <rPr>
        <b/>
        <sz val="11"/>
        <color theme="1"/>
        <rFont val="Calibri"/>
        <family val="2"/>
        <scheme val="minor"/>
      </rPr>
      <t>)</t>
    </r>
  </si>
  <si>
    <r>
      <t xml:space="preserve">Additionally, </t>
    </r>
    <r>
      <rPr>
        <b/>
        <sz val="11"/>
        <color theme="1"/>
        <rFont val="Calibri"/>
        <family val="2"/>
        <scheme val="minor"/>
      </rPr>
      <t>21</t>
    </r>
    <r>
      <rPr>
        <sz val="11"/>
        <color theme="1"/>
        <rFont val="Calibri"/>
        <family val="2"/>
        <scheme val="minor"/>
      </rPr>
      <t xml:space="preserve"> NBSAPs have a specific protected area target with a deadline later than 2020 (three of which also provided interim targets for 2020)</t>
    </r>
  </si>
  <si>
    <r>
      <t>Total nearshore area (km</t>
    </r>
    <r>
      <rPr>
        <b/>
        <vertAlign val="superscript"/>
        <sz val="11"/>
        <color theme="1"/>
        <rFont val="Calibri"/>
        <family val="2"/>
        <scheme val="minor"/>
      </rPr>
      <t>2</t>
    </r>
    <r>
      <rPr>
        <b/>
        <sz val="11"/>
        <color theme="1"/>
        <rFont val="Calibri"/>
        <family val="2"/>
        <scheme val="minor"/>
      </rPr>
      <t>)</t>
    </r>
  </si>
  <si>
    <r>
      <t xml:space="preserve">Projects from the fifth and sixth replenishment of the </t>
    </r>
    <r>
      <rPr>
        <b/>
        <sz val="11"/>
        <color theme="1"/>
        <rFont val="Calibri"/>
        <family val="2"/>
        <scheme val="minor"/>
      </rPr>
      <t xml:space="preserve">Global Environment Facility </t>
    </r>
    <r>
      <rPr>
        <sz val="11"/>
        <color theme="1"/>
        <rFont val="Calibri"/>
        <family val="2"/>
        <scheme val="minor"/>
      </rPr>
      <t>(GEF-5 and GEF-6) containing some increase in marine protected area coverage; only those projects with a status of ‘project approved’ or ‘concept approved’ as of June 2017 were considered.  All projects can be found online at: https://www.thegef.org/projects, while individual projects can be accessed following the hyperlink on the GEF projects tab</t>
    </r>
  </si>
  <si>
    <r>
      <t xml:space="preserve">Indicator = </t>
    </r>
    <r>
      <rPr>
        <b/>
        <sz val="11"/>
        <rFont val="Calibri"/>
        <family val="2"/>
        <scheme val="minor"/>
      </rPr>
      <t>5%</t>
    </r>
    <r>
      <rPr>
        <sz val="11"/>
        <rFont val="Calibri"/>
        <family val="2"/>
        <scheme val="minor"/>
      </rPr>
      <t xml:space="preserve"> of coastal and marine areas protected</t>
    </r>
  </si>
  <si>
    <t>Complete?</t>
  </si>
  <si>
    <t>Completed</t>
  </si>
  <si>
    <r>
      <t xml:space="preserve">Protected area targets from </t>
    </r>
    <r>
      <rPr>
        <b/>
        <sz val="11"/>
        <color theme="1"/>
        <rFont val="Calibri"/>
        <family val="2"/>
        <scheme val="minor"/>
      </rPr>
      <t xml:space="preserve">post-COP10 NBSAPs </t>
    </r>
    <r>
      <rPr>
        <sz val="11"/>
        <color theme="1"/>
        <rFont val="Calibri"/>
        <family val="2"/>
        <scheme val="minor"/>
      </rPr>
      <t>(National Biodiversity Strategies and Action Plans) submitted as of Jan 2019 are included, as is the additional area that will need to be added to meet these targets, removing protected areas being added through any of the above commitments. Targets submitted by Parties with a deadline later than 2020, or those that did not differentiate terrestrial and marine targets are not included.  All NBSAPs can be found online at: https://www.cbd.int/nbsap/, while individual NBSAPs can be accessed following the hyperlink on the NBSAPs tab</t>
    </r>
  </si>
  <si>
    <t>****While the authors have carefully reviewed the data, any errors that may be identified should be brought to their attention (contact: sarat.gidda@cbd.int)</t>
  </si>
  <si>
    <r>
      <t>Area (km</t>
    </r>
    <r>
      <rPr>
        <b/>
        <vertAlign val="superscript"/>
        <sz val="11"/>
        <color theme="1"/>
        <rFont val="Calibri"/>
        <family val="2"/>
        <scheme val="minor"/>
      </rPr>
      <t>2</t>
    </r>
    <r>
      <rPr>
        <b/>
        <sz val="11"/>
        <color theme="1"/>
        <rFont val="Calibri"/>
        <family val="2"/>
        <scheme val="minor"/>
      </rPr>
      <t>) to be added within national waters</t>
    </r>
  </si>
  <si>
    <r>
      <t>Area (km</t>
    </r>
    <r>
      <rPr>
        <b/>
        <vertAlign val="superscript"/>
        <sz val="11"/>
        <color theme="1"/>
        <rFont val="Calibri"/>
        <family val="2"/>
        <scheme val="minor"/>
      </rPr>
      <t>2</t>
    </r>
    <r>
      <rPr>
        <b/>
        <sz val="11"/>
        <color theme="1"/>
        <rFont val="Calibri"/>
        <family val="2"/>
        <scheme val="minor"/>
      </rPr>
      <t>) to be added in ABNJ</t>
    </r>
  </si>
  <si>
    <t>1-1.5 mil ha increase (1 mil used as minimum area to be added)</t>
  </si>
  <si>
    <t>other project ID</t>
  </si>
  <si>
    <t>Project Approved, Concept Approved</t>
  </si>
  <si>
    <r>
      <t>These 21 Parties reaching their targets would</t>
    </r>
    <r>
      <rPr>
        <b/>
        <sz val="11"/>
        <color theme="1"/>
        <rFont val="Calibri"/>
        <family val="2"/>
        <scheme val="minor"/>
      </rPr>
      <t xml:space="preserve"> </t>
    </r>
    <r>
      <rPr>
        <sz val="11"/>
        <color theme="1"/>
        <rFont val="Calibri"/>
        <family val="2"/>
        <scheme val="minor"/>
      </rPr>
      <t>add</t>
    </r>
    <r>
      <rPr>
        <b/>
        <sz val="11"/>
        <color theme="1"/>
        <rFont val="Calibri"/>
        <family val="2"/>
        <scheme val="minor"/>
      </rPr>
      <t xml:space="preserve"> ~800,000 sq km by 2030</t>
    </r>
  </si>
  <si>
    <t>Area to be added (km2)</t>
  </si>
  <si>
    <t>Implementing Agency</t>
  </si>
  <si>
    <t>FAO</t>
  </si>
  <si>
    <t>UNDP</t>
  </si>
  <si>
    <t>Not defined</t>
  </si>
  <si>
    <t>UN Environment</t>
  </si>
  <si>
    <t>Asian Development Bank (ADB)</t>
  </si>
  <si>
    <t>WWF - US Chapter</t>
  </si>
  <si>
    <t>International Fund for Agricultural Development</t>
  </si>
  <si>
    <t>Both Project Approved</t>
  </si>
  <si>
    <t>Area not defined for #9563</t>
  </si>
  <si>
    <t>FAO (#5397); IUCN (#9847)</t>
  </si>
  <si>
    <t>The World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</si>
</sst>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4" x14ac:knownFonts="1">
    <font>
      <sz val="11"/>
      <color theme="1"/>
      <name val="Calibri"/>
      <family val="2"/>
      <scheme val="minor"/>
    </font>
    <font>
      <b/>
      <sz val="11"/>
      <color theme="1"/>
      <name val="Calibri"/>
      <family val="2"/>
      <scheme val="minor"/>
    </font>
    <font>
      <sz val="11"/>
      <color indexed="8"/>
      <name val="Calibri"/>
      <family val="2"/>
    </font>
    <font>
      <sz val="10"/>
      <color theme="1"/>
      <name val="Calibri"/>
      <family val="2"/>
      <scheme val="minor"/>
    </font>
    <font>
      <b/>
      <sz val="10"/>
      <color indexed="8"/>
      <name val="Calibri"/>
      <family val="2"/>
    </font>
    <font>
      <sz val="10"/>
      <color indexed="8"/>
      <name val="Calibri"/>
      <family val="2"/>
    </font>
    <font>
      <sz val="11"/>
      <name val="Calibri"/>
      <family val="2"/>
      <scheme val="minor"/>
    </font>
    <font>
      <sz val="10"/>
      <name val="Calibri"/>
      <family val="2"/>
      <scheme val="minor"/>
    </font>
    <font>
      <b/>
      <i/>
      <sz val="11"/>
      <color theme="1"/>
      <name val="Calibri"/>
      <family val="2"/>
      <scheme val="minor"/>
    </font>
    <font>
      <sz val="9"/>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b/>
      <sz val="11"/>
      <name val="Calibri"/>
      <family val="2"/>
      <scheme val="minor"/>
    </font>
    <font>
      <b/>
      <sz val="11"/>
      <name val="Calibri"/>
      <family val="2"/>
    </font>
    <font>
      <sz val="11"/>
      <name val="Calibri"/>
      <family val="2"/>
    </font>
    <font>
      <i/>
      <sz val="11"/>
      <color theme="1"/>
      <name val="Calibri"/>
      <family val="2"/>
      <scheme val="minor"/>
    </font>
    <font>
      <b/>
      <sz val="11"/>
      <color rgb="FF000000"/>
      <name val="Calibri"/>
      <family val="2"/>
    </font>
    <font>
      <sz val="11"/>
      <color theme="1"/>
      <name val="Calibri"/>
      <family val="2"/>
    </font>
    <font>
      <sz val="10"/>
      <name val="Arial"/>
      <family val="2"/>
    </font>
    <font>
      <sz val="11"/>
      <color rgb="FF000000"/>
      <name val="Calibri"/>
      <family val="2"/>
    </font>
    <font>
      <b/>
      <vertAlign val="superscript"/>
      <sz val="11"/>
      <color theme="1"/>
      <name val="Calibri"/>
      <family val="2"/>
      <scheme val="minor"/>
    </font>
    <font>
      <vertAlign val="superscript"/>
      <sz val="10"/>
      <color theme="1"/>
      <name val="Calibri"/>
      <family val="2"/>
      <scheme val="minor"/>
    </font>
    <font>
      <sz val="10"/>
      <color rgb="FF333333"/>
      <name val="Calibri"/>
      <family val="2"/>
    </font>
    <font>
      <sz val="10"/>
      <name val="Calibri"/>
      <family val="2"/>
    </font>
    <font>
      <b/>
      <vertAlign val="superscript"/>
      <sz val="11"/>
      <name val="Calibri"/>
      <family val="2"/>
      <scheme val="minor"/>
    </font>
    <font>
      <b/>
      <sz val="11"/>
      <color theme="1"/>
      <name val="Calibri"/>
      <family val="2"/>
      <scheme val="minor"/>
    </font>
    <font>
      <sz val="11"/>
      <color theme="1"/>
      <name val="Calibri"/>
      <family val="2"/>
      <scheme val="minor"/>
    </font>
    <font>
      <sz val="11"/>
      <color indexed="8"/>
      <name val="Calibri"/>
      <family val="2"/>
    </font>
    <font>
      <sz val="11"/>
      <color theme="1"/>
      <name val="Calibri Light"/>
      <family val="2"/>
    </font>
    <font>
      <b/>
      <i/>
      <sz val="14"/>
      <color theme="1"/>
      <name val="Calibri"/>
      <family val="2"/>
      <scheme val="minor"/>
    </font>
    <font>
      <sz val="11"/>
      <color theme="1"/>
      <name val="Calibri"/>
      <family val="2"/>
      <scheme val="minor"/>
    </font>
    <font>
      <b/>
      <sz val="11"/>
      <color indexed="8"/>
      <name val="Calibri"/>
      <family val="2"/>
    </font>
    <font>
      <sz val="9"/>
      <color theme="1"/>
      <name val="Calibri"/>
      <family val="2"/>
      <scheme val="minor"/>
    </font>
    <font>
      <b/>
      <sz val="11"/>
      <color theme="1"/>
      <name val="Calibri"/>
      <family val="2"/>
    </font>
    <font>
      <sz val="11"/>
      <color rgb="FFFF0000"/>
      <name val="Calibri"/>
      <family val="2"/>
    </font>
    <font>
      <b/>
      <sz val="10"/>
      <name val="Calibri"/>
      <family val="2"/>
    </font>
    <font>
      <u/>
      <sz val="10"/>
      <name val="Calibri"/>
      <family val="2"/>
      <scheme val="minor"/>
    </font>
    <font>
      <b/>
      <vertAlign val="superscript"/>
      <sz val="11"/>
      <name val="Calibri"/>
      <family val="2"/>
    </font>
    <font>
      <sz val="11"/>
      <color rgb="FFFF0000"/>
      <name val="Calibri"/>
      <family val="2"/>
      <scheme val="minor"/>
    </font>
    <font>
      <u/>
      <sz val="11"/>
      <color rgb="FF0000FF"/>
      <name val="Calibri"/>
      <family val="2"/>
    </font>
    <font>
      <sz val="10"/>
      <color rgb="FF000000"/>
      <name val="Calibri"/>
      <family val="2"/>
    </font>
    <font>
      <sz val="11"/>
      <color rgb="FF00B050"/>
      <name val="Calibri"/>
      <family val="2"/>
      <scheme val="minor"/>
    </font>
    <font>
      <u/>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00B050"/>
        <bgColor rgb="FF000000"/>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1" fillId="0" borderId="0" applyNumberFormat="0" applyFill="0" applyBorder="0" applyAlignment="0" applyProtection="0"/>
    <xf numFmtId="0" fontId="19" fillId="0" borderId="0" applyNumberFormat="0" applyFill="0" applyBorder="0" applyAlignment="0" applyProtection="0"/>
    <xf numFmtId="43" fontId="27" fillId="0" borderId="0" applyFont="0" applyFill="0" applyBorder="0" applyAlignment="0" applyProtection="0"/>
  </cellStyleXfs>
  <cellXfs count="328">
    <xf numFmtId="0" fontId="0" fillId="0" borderId="0" xfId="0"/>
    <xf numFmtId="0" fontId="0" fillId="0" borderId="0" xfId="0" applyAlignment="1">
      <alignment wrapText="1"/>
    </xf>
    <xf numFmtId="0" fontId="1" fillId="0" borderId="1"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0" fontId="7" fillId="0" borderId="0" xfId="0" applyFont="1" applyFill="1" applyBorder="1" applyAlignment="1">
      <alignment wrapText="1"/>
    </xf>
    <xf numFmtId="0" fontId="1" fillId="0" borderId="0" xfId="0" applyFont="1" applyAlignment="1">
      <alignment horizontal="right" wrapText="1"/>
    </xf>
    <xf numFmtId="3" fontId="1" fillId="0" borderId="3" xfId="0" applyNumberFormat="1" applyFont="1" applyFill="1" applyBorder="1" applyAlignment="1">
      <alignment wrapText="1"/>
    </xf>
    <xf numFmtId="0" fontId="0" fillId="0" borderId="0" xfId="0" applyFont="1" applyAlignment="1">
      <alignment wrapText="1"/>
    </xf>
    <xf numFmtId="3" fontId="0" fillId="0" borderId="0" xfId="0" applyNumberFormat="1" applyAlignment="1">
      <alignment wrapText="1"/>
    </xf>
    <xf numFmtId="3" fontId="1" fillId="0" borderId="0" xfId="0" applyNumberFormat="1" applyFont="1" applyFill="1" applyBorder="1" applyAlignment="1">
      <alignment wrapText="1"/>
    </xf>
    <xf numFmtId="0" fontId="13" fillId="0" borderId="1" xfId="0" applyFont="1" applyBorder="1" applyAlignment="1">
      <alignment wrapText="1"/>
    </xf>
    <xf numFmtId="0" fontId="6" fillId="0" borderId="0" xfId="0" applyFont="1" applyAlignment="1">
      <alignment vertical="top" wrapText="1"/>
    </xf>
    <xf numFmtId="0" fontId="6" fillId="0" borderId="0" xfId="0" applyFont="1" applyAlignment="1">
      <alignment horizontal="right" vertical="center" wrapText="1"/>
    </xf>
    <xf numFmtId="0" fontId="6" fillId="0" borderId="0" xfId="0" applyFont="1" applyFill="1" applyAlignment="1">
      <alignment vertical="top" wrapText="1"/>
    </xf>
    <xf numFmtId="0" fontId="6" fillId="2" borderId="0" xfId="0" applyFont="1" applyFill="1" applyAlignment="1">
      <alignment vertical="top" wrapText="1"/>
    </xf>
    <xf numFmtId="0" fontId="0" fillId="0" borderId="0" xfId="0" applyFont="1" applyAlignment="1">
      <alignment horizontal="right" vertical="center" wrapText="1"/>
    </xf>
    <xf numFmtId="0" fontId="0" fillId="0" borderId="0" xfId="0" applyFont="1" applyAlignment="1">
      <alignment vertical="center" wrapText="1"/>
    </xf>
    <xf numFmtId="0" fontId="0" fillId="0" borderId="0" xfId="0" applyFont="1" applyAlignment="1">
      <alignment vertical="top" wrapText="1"/>
    </xf>
    <xf numFmtId="0" fontId="0" fillId="0" borderId="0" xfId="0" applyAlignment="1"/>
    <xf numFmtId="0" fontId="1" fillId="0" borderId="1" xfId="0" applyFont="1" applyBorder="1" applyAlignment="1">
      <alignment wrapText="1"/>
    </xf>
    <xf numFmtId="0" fontId="11" fillId="2" borderId="0" xfId="1" applyFill="1" applyAlignment="1">
      <alignment vertical="center" wrapText="1"/>
    </xf>
    <xf numFmtId="0" fontId="11" fillId="0" borderId="0" xfId="1" applyAlignment="1">
      <alignment vertical="center" wrapText="1"/>
    </xf>
    <xf numFmtId="3" fontId="0" fillId="0" borderId="0" xfId="0" applyNumberFormat="1" applyAlignment="1">
      <alignment horizontal="center" vertical="center" wrapText="1"/>
    </xf>
    <xf numFmtId="0" fontId="0" fillId="0" borderId="0" xfId="0" applyFont="1" applyAlignment="1">
      <alignment horizontal="center" vertical="center" wrapText="1"/>
    </xf>
    <xf numFmtId="3" fontId="1" fillId="0" borderId="3" xfId="0" applyNumberFormat="1" applyFont="1" applyBorder="1" applyAlignment="1">
      <alignment horizontal="center" vertical="center" wrapText="1"/>
    </xf>
    <xf numFmtId="0" fontId="0" fillId="0" borderId="0" xfId="0" applyAlignment="1">
      <alignment horizontal="center" wrapText="1"/>
    </xf>
    <xf numFmtId="3" fontId="1" fillId="0" borderId="10" xfId="0" applyNumberFormat="1" applyFont="1" applyFill="1" applyBorder="1" applyAlignment="1">
      <alignment horizontal="center" wrapText="1"/>
    </xf>
    <xf numFmtId="0" fontId="1" fillId="0" borderId="0" xfId="0" applyFont="1" applyBorder="1" applyAlignment="1">
      <alignment horizontal="center" wrapText="1"/>
    </xf>
    <xf numFmtId="0" fontId="17" fillId="0" borderId="1" xfId="0" applyFont="1" applyFill="1" applyBorder="1" applyAlignment="1">
      <alignment wrapText="1"/>
    </xf>
    <xf numFmtId="0" fontId="18" fillId="0" borderId="0" xfId="0" applyFont="1" applyFill="1" applyBorder="1" applyAlignment="1">
      <alignment wrapText="1"/>
    </xf>
    <xf numFmtId="0" fontId="15" fillId="0" borderId="0" xfId="0" applyFont="1" applyFill="1" applyBorder="1" applyAlignment="1">
      <alignment horizontal="left" vertical="center" wrapText="1"/>
    </xf>
    <xf numFmtId="0" fontId="17" fillId="0" borderId="2" xfId="0" applyFont="1" applyFill="1" applyBorder="1" applyAlignment="1">
      <alignment horizontal="right" wrapText="1"/>
    </xf>
    <xf numFmtId="3" fontId="17" fillId="0" borderId="3" xfId="0" applyNumberFormat="1" applyFont="1" applyFill="1" applyBorder="1" applyAlignment="1">
      <alignment wrapText="1"/>
    </xf>
    <xf numFmtId="3" fontId="15" fillId="0" borderId="0" xfId="0" applyNumberFormat="1" applyFont="1" applyFill="1" applyBorder="1" applyAlignment="1">
      <alignment horizontal="left" vertic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0" borderId="0" xfId="0" applyFont="1" applyAlignment="1">
      <alignment wrapText="1"/>
    </xf>
    <xf numFmtId="0" fontId="12" fillId="0" borderId="0" xfId="1" applyFont="1" applyAlignment="1">
      <alignment wrapText="1"/>
    </xf>
    <xf numFmtId="0" fontId="0" fillId="0" borderId="1" xfId="0" applyBorder="1" applyAlignment="1">
      <alignment wrapText="1"/>
    </xf>
    <xf numFmtId="0" fontId="0" fillId="0" borderId="0" xfId="0" applyAlignment="1">
      <alignment vertical="center"/>
    </xf>
    <xf numFmtId="0" fontId="6" fillId="0" borderId="0" xfId="0" quotePrefix="1" applyFont="1" applyAlignment="1">
      <alignment horizontal="right" vertical="center" wrapText="1"/>
    </xf>
    <xf numFmtId="0" fontId="0" fillId="0" borderId="0" xfId="0" quotePrefix="1" applyAlignment="1">
      <alignment horizontal="right" vertical="top" wrapText="1"/>
    </xf>
    <xf numFmtId="3" fontId="0" fillId="0" borderId="0" xfId="0" applyNumberFormat="1" applyFont="1" applyAlignment="1">
      <alignment wrapText="1"/>
    </xf>
    <xf numFmtId="17" fontId="6" fillId="0" borderId="0" xfId="0" quotePrefix="1" applyNumberFormat="1" applyFont="1" applyAlignment="1">
      <alignment horizontal="right" vertical="center" wrapText="1"/>
    </xf>
    <xf numFmtId="0" fontId="3" fillId="0" borderId="0" xfId="0" applyFont="1" applyAlignment="1"/>
    <xf numFmtId="9" fontId="0" fillId="0" borderId="0" xfId="0" applyNumberFormat="1" applyFont="1" applyFill="1" applyAlignment="1">
      <alignment horizontal="center" vertical="center" wrapText="1"/>
    </xf>
    <xf numFmtId="0" fontId="15" fillId="0" borderId="0" xfId="0" applyFont="1" applyFill="1" applyBorder="1" applyAlignment="1">
      <alignment vertical="center" wrapText="1"/>
    </xf>
    <xf numFmtId="9" fontId="6" fillId="0" borderId="0" xfId="0" applyNumberFormat="1" applyFont="1" applyAlignment="1">
      <alignment horizontal="center" vertical="center" wrapText="1"/>
    </xf>
    <xf numFmtId="9" fontId="6" fillId="0" borderId="0" xfId="0" applyNumberFormat="1" applyFont="1" applyFill="1" applyAlignment="1">
      <alignment horizontal="center" vertical="center" wrapText="1"/>
    </xf>
    <xf numFmtId="9" fontId="6" fillId="2" borderId="0" xfId="0" applyNumberFormat="1" applyFont="1" applyFill="1" applyAlignment="1">
      <alignment horizontal="center" vertical="center" wrapText="1"/>
    </xf>
    <xf numFmtId="10" fontId="6" fillId="0" borderId="0" xfId="0" applyNumberFormat="1" applyFont="1" applyAlignment="1">
      <alignment horizontal="center" vertical="center" wrapText="1"/>
    </xf>
    <xf numFmtId="0" fontId="1" fillId="0" borderId="2" xfId="0" applyFont="1" applyBorder="1" applyAlignment="1">
      <alignment horizontal="center" vertical="center" wrapText="1"/>
    </xf>
    <xf numFmtId="3" fontId="0" fillId="0" borderId="0" xfId="0" applyNumberFormat="1" applyBorder="1" applyAlignment="1">
      <alignment horizontal="right" wrapText="1"/>
    </xf>
    <xf numFmtId="0" fontId="3" fillId="0" borderId="0" xfId="0" applyFont="1" applyAlignment="1">
      <alignment vertical="center" wrapText="1"/>
    </xf>
    <xf numFmtId="0" fontId="12" fillId="0" borderId="0" xfId="1" applyFont="1" applyAlignment="1">
      <alignment horizontal="center" vertical="center" wrapText="1"/>
    </xf>
    <xf numFmtId="0" fontId="12" fillId="0" borderId="0" xfId="1" applyFont="1" applyAlignment="1">
      <alignment horizontal="center" wrapText="1"/>
    </xf>
    <xf numFmtId="3" fontId="0" fillId="0" borderId="0" xfId="0" applyNumberFormat="1" applyFill="1" applyBorder="1" applyAlignment="1">
      <alignment horizontal="right" wrapText="1"/>
    </xf>
    <xf numFmtId="0" fontId="11" fillId="0" borderId="0" xfId="1" applyAlignment="1">
      <alignment wrapText="1"/>
    </xf>
    <xf numFmtId="3" fontId="0" fillId="0" borderId="0" xfId="0" applyNumberFormat="1" applyAlignment="1">
      <alignment horizontal="right" wrapText="1"/>
    </xf>
    <xf numFmtId="0" fontId="0" fillId="0" borderId="0" xfId="0" applyAlignment="1">
      <alignment horizontal="right" wrapText="1"/>
    </xf>
    <xf numFmtId="0" fontId="19" fillId="0" borderId="0" xfId="0" applyFont="1" applyAlignment="1">
      <alignment horizontal="center" vertical="center" wrapText="1"/>
    </xf>
    <xf numFmtId="0" fontId="3" fillId="0" borderId="0" xfId="0" applyFont="1" applyBorder="1" applyAlignment="1">
      <alignment wrapText="1"/>
    </xf>
    <xf numFmtId="0" fontId="15" fillId="0" borderId="0" xfId="0" applyFont="1" applyFill="1" applyBorder="1" applyAlignment="1">
      <alignment horizontal="left" vertical="center"/>
    </xf>
    <xf numFmtId="0" fontId="20" fillId="0" borderId="0" xfId="0" applyFont="1" applyFill="1" applyBorder="1" applyAlignment="1">
      <alignment horizontal="left" vertical="center"/>
    </xf>
    <xf numFmtId="0" fontId="12" fillId="0" borderId="0" xfId="1" applyFont="1" applyBorder="1" applyAlignment="1">
      <alignment wrapText="1"/>
    </xf>
    <xf numFmtId="0" fontId="3" fillId="0" borderId="0" xfId="0" applyFont="1" applyAlignment="1">
      <alignment horizontal="left" wrapText="1"/>
    </xf>
    <xf numFmtId="0" fontId="23" fillId="0" borderId="0" xfId="0" applyFont="1" applyFill="1" applyBorder="1" applyAlignment="1">
      <alignment wrapText="1"/>
    </xf>
    <xf numFmtId="3" fontId="1" fillId="0" borderId="4" xfId="0" applyNumberFormat="1" applyFont="1" applyFill="1" applyBorder="1" applyAlignment="1">
      <alignment wrapText="1"/>
    </xf>
    <xf numFmtId="3" fontId="3" fillId="0" borderId="0" xfId="0" applyNumberFormat="1" applyFont="1" applyAlignment="1"/>
    <xf numFmtId="0" fontId="10" fillId="0" borderId="1" xfId="0" applyFont="1" applyBorder="1" applyAlignment="1">
      <alignment wrapText="1"/>
    </xf>
    <xf numFmtId="3" fontId="3" fillId="0" borderId="0" xfId="0" applyNumberFormat="1" applyFont="1" applyAlignment="1">
      <alignment horizontal="left" wrapText="1"/>
    </xf>
    <xf numFmtId="0" fontId="1" fillId="0" borderId="14" xfId="0" applyFont="1" applyBorder="1" applyAlignment="1">
      <alignment wrapText="1"/>
    </xf>
    <xf numFmtId="3" fontId="1" fillId="0" borderId="15" xfId="0" applyNumberFormat="1" applyFont="1" applyBorder="1" applyAlignment="1">
      <alignment horizontal="right" wrapText="1"/>
    </xf>
    <xf numFmtId="0" fontId="1" fillId="0" borderId="16" xfId="0" applyFont="1" applyBorder="1" applyAlignment="1">
      <alignment wrapText="1"/>
    </xf>
    <xf numFmtId="3" fontId="1" fillId="0" borderId="17" xfId="0" applyNumberFormat="1" applyFont="1" applyBorder="1" applyAlignment="1">
      <alignment horizontal="right" wrapText="1"/>
    </xf>
    <xf numFmtId="0" fontId="1" fillId="0" borderId="12" xfId="0" applyFont="1" applyBorder="1" applyAlignment="1">
      <alignment wrapText="1"/>
    </xf>
    <xf numFmtId="3" fontId="1" fillId="0" borderId="13" xfId="0" applyNumberFormat="1" applyFont="1" applyBorder="1" applyAlignment="1">
      <alignment horizontal="right" wrapText="1"/>
    </xf>
    <xf numFmtId="0" fontId="6" fillId="0" borderId="0" xfId="0" applyFont="1" applyFill="1" applyAlignment="1">
      <alignment horizontal="right" vertical="center" wrapText="1"/>
    </xf>
    <xf numFmtId="0" fontId="0" fillId="0" borderId="0" xfId="0" applyFill="1" applyAlignment="1">
      <alignment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Border="1" applyAlignment="1"/>
    <xf numFmtId="3" fontId="1" fillId="0" borderId="0" xfId="0" applyNumberFormat="1" applyFont="1" applyFill="1" applyBorder="1" applyAlignment="1">
      <alignment horizontal="center" wrapText="1"/>
    </xf>
    <xf numFmtId="3" fontId="3" fillId="0" borderId="0" xfId="0" applyNumberFormat="1" applyFont="1" applyFill="1" applyBorder="1" applyAlignment="1">
      <alignment wrapText="1"/>
    </xf>
    <xf numFmtId="3" fontId="3" fillId="0" borderId="0" xfId="0" applyNumberFormat="1" applyFont="1" applyFill="1" applyBorder="1" applyAlignment="1"/>
    <xf numFmtId="0" fontId="26" fillId="0" borderId="4" xfId="0" applyFont="1" applyBorder="1" applyAlignment="1">
      <alignment wrapText="1"/>
    </xf>
    <xf numFmtId="0" fontId="26" fillId="0" borderId="4" xfId="0" applyFont="1" applyBorder="1" applyAlignment="1">
      <alignment horizontal="center" wrapText="1"/>
    </xf>
    <xf numFmtId="0" fontId="27" fillId="0" borderId="0" xfId="0" applyFont="1" applyAlignment="1">
      <alignment wrapText="1"/>
    </xf>
    <xf numFmtId="0" fontId="28" fillId="0" borderId="0" xfId="0" applyFont="1" applyAlignment="1">
      <alignment wrapText="1"/>
    </xf>
    <xf numFmtId="3" fontId="27" fillId="0" borderId="0" xfId="0" applyNumberFormat="1" applyFont="1" applyAlignment="1">
      <alignment wrapText="1"/>
    </xf>
    <xf numFmtId="10" fontId="27" fillId="0" borderId="0" xfId="0" applyNumberFormat="1" applyFont="1" applyAlignment="1">
      <alignment wrapText="1"/>
    </xf>
    <xf numFmtId="0" fontId="27" fillId="0" borderId="0" xfId="0" applyFont="1" applyBorder="1" applyAlignment="1">
      <alignment wrapText="1"/>
    </xf>
    <xf numFmtId="0" fontId="26" fillId="0" borderId="0" xfId="0" applyFont="1" applyAlignment="1">
      <alignment wrapText="1"/>
    </xf>
    <xf numFmtId="3" fontId="29" fillId="0" borderId="0" xfId="0" applyNumberFormat="1" applyFont="1"/>
    <xf numFmtId="0" fontId="1" fillId="0" borderId="6" xfId="0" applyFont="1" applyBorder="1" applyAlignment="1">
      <alignment horizontal="center" wrapText="1"/>
    </xf>
    <xf numFmtId="0" fontId="30" fillId="0" borderId="0" xfId="0" applyFont="1"/>
    <xf numFmtId="0" fontId="31" fillId="0" borderId="0" xfId="0" applyFont="1"/>
    <xf numFmtId="0" fontId="32" fillId="0" borderId="0" xfId="0" applyFont="1" applyFill="1" applyAlignment="1">
      <alignment horizontal="left" vertical="center" wrapText="1"/>
    </xf>
    <xf numFmtId="0" fontId="31" fillId="0" borderId="0" xfId="0" applyFont="1" applyAlignment="1">
      <alignment horizontal="left" vertical="center" wrapText="1"/>
    </xf>
    <xf numFmtId="0" fontId="1" fillId="0" borderId="4" xfId="0" applyFont="1" applyBorder="1" applyAlignment="1">
      <alignment horizontal="center" wrapText="1"/>
    </xf>
    <xf numFmtId="10" fontId="0" fillId="0" borderId="0" xfId="0" applyNumberFormat="1" applyFont="1"/>
    <xf numFmtId="0" fontId="0" fillId="0" borderId="0" xfId="0" applyFont="1" applyBorder="1" applyAlignment="1">
      <alignment wrapText="1"/>
    </xf>
    <xf numFmtId="0" fontId="0" fillId="0" borderId="0" xfId="0" applyFont="1" applyAlignment="1"/>
    <xf numFmtId="0" fontId="1" fillId="0" borderId="2" xfId="0" applyFont="1" applyBorder="1" applyAlignment="1">
      <alignment wrapText="1"/>
    </xf>
    <xf numFmtId="3" fontId="1" fillId="0" borderId="3" xfId="0" applyNumberFormat="1" applyFont="1" applyBorder="1" applyAlignment="1">
      <alignment horizontal="right" wrapText="1"/>
    </xf>
    <xf numFmtId="0" fontId="0" fillId="0" borderId="0" xfId="0" applyFont="1" applyFill="1" applyAlignment="1">
      <alignment vertical="center" wrapText="1"/>
    </xf>
    <xf numFmtId="0" fontId="1" fillId="0" borderId="18" xfId="0" applyFont="1" applyBorder="1" applyAlignment="1">
      <alignment wrapText="1"/>
    </xf>
    <xf numFmtId="0" fontId="3" fillId="0" borderId="0" xfId="0" applyFont="1" applyFill="1" applyBorder="1" applyAlignment="1"/>
    <xf numFmtId="0" fontId="0" fillId="0" borderId="0" xfId="0" applyFont="1" applyAlignment="1">
      <alignment horizontal="left" vertical="center" wrapText="1"/>
    </xf>
    <xf numFmtId="0" fontId="7" fillId="0" borderId="0" xfId="0" applyFont="1" applyFill="1" applyBorder="1" applyAlignment="1"/>
    <xf numFmtId="0" fontId="1" fillId="0" borderId="0" xfId="0" applyFont="1" applyBorder="1"/>
    <xf numFmtId="0" fontId="0" fillId="0" borderId="0" xfId="0" applyFont="1" applyFill="1" applyBorder="1" applyAlignment="1"/>
    <xf numFmtId="0" fontId="0" fillId="0" borderId="0" xfId="0" applyBorder="1" applyAlignment="1"/>
    <xf numFmtId="3" fontId="15" fillId="0" borderId="13" xfId="0" applyNumberFormat="1" applyFont="1" applyFill="1" applyBorder="1" applyAlignment="1">
      <alignment horizontal="center"/>
    </xf>
    <xf numFmtId="0" fontId="15" fillId="0" borderId="0" xfId="0" applyFont="1" applyFill="1" applyBorder="1" applyAlignment="1">
      <alignment horizontal="center"/>
    </xf>
    <xf numFmtId="4" fontId="0" fillId="0" borderId="0" xfId="0" applyNumberFormat="1" applyAlignment="1">
      <alignment wrapText="1"/>
    </xf>
    <xf numFmtId="165" fontId="0" fillId="0" borderId="0" xfId="0" applyNumberFormat="1" applyFont="1" applyFill="1" applyBorder="1" applyAlignment="1">
      <alignment horizontal="center" wrapText="1"/>
    </xf>
    <xf numFmtId="165" fontId="0" fillId="0" borderId="0" xfId="0" applyNumberFormat="1" applyBorder="1" applyAlignment="1">
      <alignment horizontal="center" wrapText="1"/>
    </xf>
    <xf numFmtId="0" fontId="18" fillId="0" borderId="0" xfId="0" applyFont="1" applyFill="1" applyBorder="1" applyAlignment="1">
      <alignment horizontal="center"/>
    </xf>
    <xf numFmtId="3" fontId="18" fillId="0" borderId="13" xfId="0" applyNumberFormat="1" applyFont="1" applyFill="1" applyBorder="1" applyAlignment="1">
      <alignment horizontal="center"/>
    </xf>
    <xf numFmtId="3" fontId="20" fillId="0" borderId="12" xfId="0" applyNumberFormat="1" applyFont="1" applyFill="1" applyBorder="1" applyAlignment="1">
      <alignment horizontal="center" wrapText="1"/>
    </xf>
    <xf numFmtId="3" fontId="20" fillId="0" borderId="0" xfId="0" applyNumberFormat="1" applyFont="1" applyFill="1" applyBorder="1" applyAlignment="1">
      <alignment horizontal="center" wrapText="1"/>
    </xf>
    <xf numFmtId="164" fontId="18" fillId="0" borderId="13" xfId="0" applyNumberFormat="1" applyFont="1" applyFill="1" applyBorder="1" applyAlignment="1">
      <alignment horizontal="center"/>
    </xf>
    <xf numFmtId="3" fontId="18" fillId="0" borderId="11" xfId="0" applyNumberFormat="1" applyFont="1" applyFill="1" applyBorder="1" applyAlignment="1">
      <alignment horizontal="center"/>
    </xf>
    <xf numFmtId="10" fontId="18" fillId="0" borderId="11" xfId="0" applyNumberFormat="1" applyFont="1" applyFill="1" applyBorder="1" applyAlignment="1">
      <alignment horizontal="center"/>
    </xf>
    <xf numFmtId="3" fontId="20" fillId="0" borderId="12" xfId="0" applyNumberFormat="1" applyFont="1" applyFill="1" applyBorder="1" applyAlignment="1">
      <alignment horizontal="center"/>
    </xf>
    <xf numFmtId="3" fontId="20" fillId="0" borderId="0" xfId="0" applyNumberFormat="1" applyFont="1" applyFill="1" applyBorder="1" applyAlignment="1">
      <alignment horizontal="center"/>
    </xf>
    <xf numFmtId="9" fontId="18" fillId="0" borderId="12" xfId="0" applyNumberFormat="1" applyFont="1" applyFill="1" applyBorder="1" applyAlignment="1">
      <alignment horizontal="center"/>
    </xf>
    <xf numFmtId="0" fontId="0" fillId="0" borderId="0" xfId="0" applyAlignment="1">
      <alignment horizontal="center"/>
    </xf>
    <xf numFmtId="165" fontId="0" fillId="0" borderId="0" xfId="0" applyNumberFormat="1" applyBorder="1" applyAlignment="1">
      <alignment horizontal="center"/>
    </xf>
    <xf numFmtId="9" fontId="18" fillId="0" borderId="0" xfId="0" applyNumberFormat="1" applyFont="1" applyFill="1" applyBorder="1" applyAlignment="1">
      <alignment horizontal="center"/>
    </xf>
    <xf numFmtId="3" fontId="18" fillId="0" borderId="0" xfId="0" applyNumberFormat="1" applyFont="1" applyFill="1" applyBorder="1" applyAlignment="1">
      <alignment horizontal="center"/>
    </xf>
    <xf numFmtId="3" fontId="18" fillId="0" borderId="0" xfId="0" applyNumberFormat="1" applyFont="1" applyFill="1" applyBorder="1" applyAlignment="1">
      <alignment horizontal="center" wrapText="1"/>
    </xf>
    <xf numFmtId="164" fontId="18" fillId="0" borderId="0" xfId="0" applyNumberFormat="1" applyFont="1" applyFill="1" applyBorder="1" applyAlignment="1">
      <alignment horizontal="center"/>
    </xf>
    <xf numFmtId="165" fontId="0" fillId="0" borderId="0" xfId="0" applyNumberFormat="1" applyFont="1" applyFill="1" applyAlignment="1">
      <alignment horizontal="center"/>
    </xf>
    <xf numFmtId="0" fontId="18" fillId="0" borderId="0" xfId="0" applyFont="1" applyFill="1" applyBorder="1" applyAlignment="1"/>
    <xf numFmtId="0" fontId="18" fillId="0" borderId="0" xfId="0" applyFont="1" applyFill="1" applyBorder="1"/>
    <xf numFmtId="9" fontId="15" fillId="0" borderId="12" xfId="0" applyNumberFormat="1" applyFont="1" applyFill="1" applyBorder="1" applyAlignment="1">
      <alignment horizontal="center"/>
    </xf>
    <xf numFmtId="9" fontId="34" fillId="0" borderId="0" xfId="0" applyNumberFormat="1" applyFont="1" applyFill="1" applyBorder="1" applyAlignment="1">
      <alignment horizontal="center"/>
    </xf>
    <xf numFmtId="9" fontId="18" fillId="0" borderId="12" xfId="0" applyNumberFormat="1" applyFont="1" applyFill="1" applyBorder="1" applyAlignment="1">
      <alignment horizontal="center" wrapText="1"/>
    </xf>
    <xf numFmtId="10" fontId="0" fillId="0" borderId="13" xfId="0" applyNumberFormat="1" applyBorder="1" applyAlignment="1">
      <alignment horizontal="center"/>
    </xf>
    <xf numFmtId="3" fontId="35" fillId="0" borderId="12" xfId="0" applyNumberFormat="1" applyFont="1" applyFill="1" applyBorder="1" applyAlignment="1">
      <alignment horizontal="center" wrapText="1"/>
    </xf>
    <xf numFmtId="3" fontId="35" fillId="0" borderId="12" xfId="0" applyNumberFormat="1" applyFont="1" applyFill="1" applyBorder="1" applyAlignment="1">
      <alignment horizontal="center"/>
    </xf>
    <xf numFmtId="3" fontId="18" fillId="0" borderId="12" xfId="0" applyNumberFormat="1" applyFont="1" applyFill="1" applyBorder="1" applyAlignment="1">
      <alignment horizontal="center" wrapText="1"/>
    </xf>
    <xf numFmtId="3" fontId="18" fillId="0" borderId="12" xfId="0" applyNumberFormat="1" applyFont="1" applyFill="1" applyBorder="1" applyAlignment="1">
      <alignment horizontal="center"/>
    </xf>
    <xf numFmtId="0" fontId="0" fillId="0" borderId="0" xfId="0" applyFill="1" applyAlignment="1"/>
    <xf numFmtId="3" fontId="15" fillId="0" borderId="12" xfId="0" applyNumberFormat="1" applyFont="1" applyFill="1" applyBorder="1" applyAlignment="1">
      <alignment horizontal="center" wrapText="1"/>
    </xf>
    <xf numFmtId="3" fontId="3" fillId="0" borderId="0" xfId="0" applyNumberFormat="1" applyFont="1" applyFill="1" applyAlignment="1"/>
    <xf numFmtId="4" fontId="0" fillId="0" borderId="0" xfId="0" applyNumberFormat="1" applyBorder="1" applyAlignment="1">
      <alignment horizontal="right"/>
    </xf>
    <xf numFmtId="0" fontId="3" fillId="0" borderId="0" xfId="0" applyFont="1" applyFill="1" applyAlignment="1">
      <alignment horizontal="left" wrapText="1"/>
    </xf>
    <xf numFmtId="165" fontId="0" fillId="0" borderId="0" xfId="0" applyNumberFormat="1" applyFill="1" applyBorder="1" applyAlignment="1">
      <alignment horizontal="center" wrapText="1"/>
    </xf>
    <xf numFmtId="0" fontId="11" fillId="0" borderId="0" xfId="1" applyAlignment="1">
      <alignment vertical="center"/>
    </xf>
    <xf numFmtId="0" fontId="6" fillId="0" borderId="0" xfId="0" applyFont="1" applyAlignment="1">
      <alignment vertical="center" wrapText="1"/>
    </xf>
    <xf numFmtId="0" fontId="11" fillId="0" borderId="0" xfId="1" applyFill="1" applyBorder="1" applyAlignment="1">
      <alignment vertical="center"/>
    </xf>
    <xf numFmtId="0" fontId="11" fillId="0" borderId="0" xfId="1" applyFont="1" applyAlignment="1">
      <alignment vertical="center" wrapText="1"/>
    </xf>
    <xf numFmtId="0" fontId="11" fillId="0" borderId="0" xfId="1" applyFill="1" applyBorder="1" applyAlignment="1">
      <alignment vertical="center" wrapText="1"/>
    </xf>
    <xf numFmtId="3" fontId="1" fillId="0" borderId="0" xfId="0" applyNumberFormat="1" applyFont="1" applyAlignment="1">
      <alignment horizontal="center" vertical="center" wrapText="1"/>
    </xf>
    <xf numFmtId="0" fontId="34" fillId="0" borderId="0" xfId="0" applyFont="1" applyFill="1" applyBorder="1" applyAlignment="1">
      <alignment horizontal="center"/>
    </xf>
    <xf numFmtId="0" fontId="0" fillId="0" borderId="0" xfId="0" applyFill="1" applyBorder="1" applyAlignment="1">
      <alignment wrapText="1"/>
    </xf>
    <xf numFmtId="0" fontId="0" fillId="0" borderId="0" xfId="0" applyFill="1" applyBorder="1" applyAlignment="1"/>
    <xf numFmtId="9" fontId="18" fillId="0" borderId="0" xfId="0" applyNumberFormat="1" applyFont="1" applyFill="1" applyBorder="1" applyAlignment="1">
      <alignment horizontal="center" wrapText="1"/>
    </xf>
    <xf numFmtId="0" fontId="11" fillId="0" borderId="0" xfId="1" applyFont="1" applyAlignment="1">
      <alignment horizontal="left" vertical="center" wrapText="1"/>
    </xf>
    <xf numFmtId="0" fontId="6" fillId="0" borderId="0" xfId="0" applyFont="1" applyAlignment="1">
      <alignment horizontal="left" vertical="center" wrapText="1"/>
    </xf>
    <xf numFmtId="9" fontId="34" fillId="0" borderId="0" xfId="0"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6" fillId="0" borderId="0" xfId="2" applyFont="1" applyAlignment="1">
      <alignment horizontal="right" vertical="center"/>
    </xf>
    <xf numFmtId="0" fontId="6" fillId="0" borderId="0" xfId="0" applyFont="1" applyFill="1" applyAlignment="1">
      <alignment horizontal="left" vertical="center" wrapText="1"/>
    </xf>
    <xf numFmtId="9" fontId="1" fillId="0" borderId="0" xfId="0" applyNumberFormat="1" applyFont="1" applyFill="1" applyAlignment="1">
      <alignment horizontal="center" vertical="center" wrapText="1"/>
    </xf>
    <xf numFmtId="0" fontId="0" fillId="0" borderId="0" xfId="0" applyFont="1" applyFill="1" applyAlignment="1">
      <alignment horizontal="right" vertical="center" wrapText="1"/>
    </xf>
    <xf numFmtId="164" fontId="18" fillId="0" borderId="12" xfId="0" applyNumberFormat="1" applyFont="1" applyFill="1" applyBorder="1" applyAlignment="1">
      <alignment horizontal="center"/>
    </xf>
    <xf numFmtId="17" fontId="6" fillId="0" borderId="0" xfId="0" quotePrefix="1" applyNumberFormat="1" applyFont="1" applyFill="1" applyAlignment="1">
      <alignment horizontal="right" vertical="center" wrapText="1"/>
    </xf>
    <xf numFmtId="9" fontId="18" fillId="0" borderId="0" xfId="0" applyNumberFormat="1" applyFont="1" applyFill="1" applyBorder="1" applyAlignment="1">
      <alignment horizontal="center" vertical="center"/>
    </xf>
    <xf numFmtId="3" fontId="1" fillId="0" borderId="0" xfId="0" applyNumberFormat="1" applyFont="1" applyFill="1" applyAlignment="1">
      <alignment horizontal="center" vertical="center" wrapText="1"/>
    </xf>
    <xf numFmtId="9" fontId="0" fillId="0" borderId="0" xfId="0" applyNumberFormat="1" applyFont="1" applyFill="1" applyAlignment="1">
      <alignment horizontal="center" vertical="center"/>
    </xf>
    <xf numFmtId="3" fontId="1" fillId="0" borderId="0" xfId="0" applyNumberFormat="1"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Alignment="1">
      <alignment horizontal="left" vertical="center" wrapText="1"/>
    </xf>
    <xf numFmtId="3" fontId="1" fillId="0" borderId="0" xfId="0" applyNumberFormat="1" applyFont="1" applyAlignment="1">
      <alignment horizontal="center" vertical="center"/>
    </xf>
    <xf numFmtId="0" fontId="0" fillId="0" borderId="0" xfId="0" applyFont="1" applyAlignment="1">
      <alignment horizontal="right" vertical="center"/>
    </xf>
    <xf numFmtId="9" fontId="6" fillId="0" borderId="0" xfId="2" applyNumberFormat="1" applyFont="1" applyFill="1" applyAlignment="1">
      <alignment horizontal="center" vertical="center"/>
    </xf>
    <xf numFmtId="3" fontId="13" fillId="0" borderId="0" xfId="2" applyNumberFormat="1" applyFont="1" applyAlignment="1">
      <alignment horizontal="center" vertical="center"/>
    </xf>
    <xf numFmtId="0" fontId="6" fillId="0" borderId="0" xfId="2" applyFont="1" applyFill="1" applyAlignment="1">
      <alignment horizontal="left" vertical="center" wrapText="1"/>
    </xf>
    <xf numFmtId="9" fontId="0" fillId="0" borderId="0" xfId="0" applyNumberFormat="1" applyFill="1"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left" vertical="center"/>
    </xf>
    <xf numFmtId="0" fontId="0" fillId="0" borderId="0" xfId="0" applyAlignment="1">
      <alignment horizontal="right" vertical="center"/>
    </xf>
    <xf numFmtId="3" fontId="0" fillId="0" borderId="0" xfId="0" applyNumberFormat="1" applyFill="1" applyAlignment="1">
      <alignment horizontal="center" vertical="center" wrapText="1"/>
    </xf>
    <xf numFmtId="10" fontId="15" fillId="0" borderId="12" xfId="0" applyNumberFormat="1" applyFont="1" applyFill="1" applyBorder="1" applyAlignment="1">
      <alignment horizontal="center"/>
    </xf>
    <xf numFmtId="0" fontId="0" fillId="0" borderId="0" xfId="0" applyAlignment="1">
      <alignment horizontal="center" vertical="center"/>
    </xf>
    <xf numFmtId="0" fontId="1" fillId="0" borderId="0" xfId="0" applyFont="1" applyFill="1" applyAlignment="1">
      <alignment horizontal="center" vertical="center"/>
    </xf>
    <xf numFmtId="0" fontId="13" fillId="0" borderId="1" xfId="0" applyFont="1" applyBorder="1" applyAlignment="1">
      <alignment horizontal="right" vertical="center" wrapText="1"/>
    </xf>
    <xf numFmtId="0" fontId="13" fillId="0" borderId="1" xfId="0" applyFont="1" applyBorder="1" applyAlignment="1">
      <alignment horizontal="center" vertical="center" wrapText="1"/>
    </xf>
    <xf numFmtId="0" fontId="6" fillId="0" borderId="0" xfId="0" applyFont="1" applyFill="1"/>
    <xf numFmtId="0" fontId="6" fillId="0" borderId="0" xfId="0" applyFont="1" applyFill="1" applyAlignment="1">
      <alignment vertical="center" wrapText="1"/>
    </xf>
    <xf numFmtId="0" fontId="6" fillId="0" borderId="0" xfId="0" applyFont="1" applyFill="1" applyAlignment="1"/>
    <xf numFmtId="0" fontId="3" fillId="0" borderId="0" xfId="0" applyFont="1" applyFill="1" applyAlignment="1"/>
    <xf numFmtId="0" fontId="9" fillId="0" borderId="0" xfId="0" applyFont="1" applyFill="1" applyBorder="1" applyAlignment="1">
      <alignment wrapText="1"/>
    </xf>
    <xf numFmtId="0" fontId="0" fillId="0" borderId="0" xfId="0" applyBorder="1" applyAlignment="1">
      <alignment wrapText="1"/>
    </xf>
    <xf numFmtId="0" fontId="8" fillId="0" borderId="0" xfId="0" applyFont="1" applyBorder="1" applyAlignment="1">
      <alignment wrapText="1"/>
    </xf>
    <xf numFmtId="0" fontId="1" fillId="0" borderId="4" xfId="0" applyFont="1" applyFill="1" applyBorder="1" applyAlignment="1">
      <alignment wrapText="1"/>
    </xf>
    <xf numFmtId="0" fontId="8" fillId="0" borderId="4" xfId="0" applyFont="1" applyBorder="1" applyAlignment="1">
      <alignment wrapText="1"/>
    </xf>
    <xf numFmtId="0" fontId="1" fillId="0" borderId="10" xfId="0" applyFont="1" applyBorder="1" applyAlignment="1">
      <alignment wrapText="1"/>
    </xf>
    <xf numFmtId="0" fontId="3" fillId="0" borderId="0" xfId="0" applyFont="1" applyFill="1" applyAlignment="1">
      <alignment wrapText="1"/>
    </xf>
    <xf numFmtId="0" fontId="3" fillId="0" borderId="6" xfId="0" applyFont="1" applyFill="1" applyBorder="1" applyAlignment="1">
      <alignment wrapText="1"/>
    </xf>
    <xf numFmtId="0" fontId="12" fillId="0" borderId="6" xfId="1" applyFont="1" applyFill="1" applyBorder="1" applyAlignment="1">
      <alignment horizontal="center" vertical="center" wrapText="1"/>
    </xf>
    <xf numFmtId="0" fontId="7" fillId="0" borderId="6" xfId="0" applyFont="1" applyFill="1" applyBorder="1" applyAlignment="1">
      <alignment wrapText="1"/>
    </xf>
    <xf numFmtId="3" fontId="6" fillId="0" borderId="6" xfId="0" applyNumberFormat="1" applyFont="1" applyFill="1" applyBorder="1" applyAlignment="1">
      <alignment horizontal="right" wrapText="1"/>
    </xf>
    <xf numFmtId="0" fontId="7" fillId="0" borderId="0" xfId="0" applyFont="1" applyFill="1" applyAlignment="1">
      <alignment wrapText="1"/>
    </xf>
    <xf numFmtId="3" fontId="6" fillId="0" borderId="0" xfId="0" applyNumberFormat="1" applyFont="1" applyFill="1" applyAlignment="1">
      <alignment horizontal="right" wrapText="1"/>
    </xf>
    <xf numFmtId="0" fontId="37" fillId="0" borderId="0" xfId="1" applyFont="1" applyFill="1" applyAlignment="1">
      <alignment horizontal="center" vertical="center" wrapText="1"/>
    </xf>
    <xf numFmtId="0" fontId="7" fillId="0" borderId="0" xfId="0" applyFont="1" applyFill="1" applyAlignment="1">
      <alignment vertical="center" wrapText="1"/>
    </xf>
    <xf numFmtId="0" fontId="11" fillId="0" borderId="0" xfId="1" applyFont="1" applyFill="1" applyAlignment="1">
      <alignment horizontal="left" vertical="center" wrapText="1"/>
    </xf>
    <xf numFmtId="0" fontId="18" fillId="0" borderId="11" xfId="0" applyFont="1" applyFill="1" applyBorder="1" applyAlignment="1">
      <alignment horizontal="left" wrapText="1"/>
    </xf>
    <xf numFmtId="0" fontId="0" fillId="0" borderId="11" xfId="0" applyFont="1" applyFill="1" applyBorder="1" applyAlignment="1"/>
    <xf numFmtId="0" fontId="0" fillId="0" borderId="20" xfId="0" applyFont="1" applyFill="1" applyBorder="1" applyAlignment="1"/>
    <xf numFmtId="165" fontId="1" fillId="0" borderId="5"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165" fontId="0" fillId="0" borderId="12" xfId="3" applyNumberFormat="1" applyFont="1" applyFill="1" applyBorder="1" applyAlignment="1">
      <alignment horizontal="center"/>
    </xf>
    <xf numFmtId="3" fontId="0" fillId="0" borderId="0" xfId="0" applyNumberFormat="1" applyBorder="1" applyAlignment="1">
      <alignment horizontal="center"/>
    </xf>
    <xf numFmtId="10" fontId="0" fillId="0" borderId="13" xfId="0" applyNumberFormat="1" applyBorder="1"/>
    <xf numFmtId="165" fontId="0" fillId="0" borderId="12" xfId="0" applyNumberFormat="1" applyFont="1" applyFill="1" applyBorder="1" applyAlignment="1">
      <alignment horizontal="center" wrapText="1"/>
    </xf>
    <xf numFmtId="0" fontId="0" fillId="0" borderId="0" xfId="0" applyBorder="1" applyAlignment="1">
      <alignment horizontal="center"/>
    </xf>
    <xf numFmtId="165" fontId="6" fillId="0" borderId="12" xfId="0" applyNumberFormat="1" applyFont="1" applyFill="1" applyBorder="1" applyAlignment="1" applyProtection="1">
      <alignment horizontal="center"/>
    </xf>
    <xf numFmtId="10" fontId="0" fillId="0" borderId="13" xfId="0" applyNumberFormat="1" applyFill="1" applyBorder="1"/>
    <xf numFmtId="165" fontId="0" fillId="0" borderId="14" xfId="0" applyNumberFormat="1" applyFont="1" applyFill="1" applyBorder="1" applyAlignment="1">
      <alignment horizontal="center" wrapText="1"/>
    </xf>
    <xf numFmtId="165" fontId="0" fillId="0" borderId="1" xfId="0" applyNumberFormat="1" applyBorder="1" applyAlignment="1">
      <alignment horizontal="center" wrapText="1"/>
    </xf>
    <xf numFmtId="10" fontId="0" fillId="0" borderId="15" xfId="0" applyNumberFormat="1" applyBorder="1"/>
    <xf numFmtId="165" fontId="1" fillId="0" borderId="2" xfId="0"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0" borderId="19" xfId="0" applyNumberFormat="1" applyFont="1" applyBorder="1" applyAlignment="1">
      <alignment horizontal="center" vertical="center" wrapText="1"/>
    </xf>
    <xf numFmtId="164" fontId="13" fillId="0" borderId="19" xfId="0" applyNumberFormat="1" applyFont="1" applyBorder="1" applyAlignment="1">
      <alignment horizontal="center" vertical="center" wrapText="1"/>
    </xf>
    <xf numFmtId="0" fontId="34" fillId="0" borderId="19"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9" fontId="18" fillId="0" borderId="14" xfId="0" applyNumberFormat="1" applyFont="1" applyFill="1" applyBorder="1" applyAlignment="1">
      <alignment horizontal="center"/>
    </xf>
    <xf numFmtId="3" fontId="18" fillId="0" borderId="1" xfId="0" applyNumberFormat="1" applyFont="1" applyFill="1" applyBorder="1" applyAlignment="1">
      <alignment horizontal="center"/>
    </xf>
    <xf numFmtId="3" fontId="18" fillId="0" borderId="15" xfId="0" applyNumberFormat="1" applyFont="1" applyFill="1" applyBorder="1" applyAlignment="1">
      <alignment horizontal="center"/>
    </xf>
    <xf numFmtId="3" fontId="14" fillId="0" borderId="2" xfId="0" applyNumberFormat="1" applyFont="1" applyFill="1" applyBorder="1" applyAlignment="1">
      <alignment horizontal="center" vertical="center" wrapText="1"/>
    </xf>
    <xf numFmtId="3" fontId="14" fillId="0" borderId="5"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3" fontId="20" fillId="0" borderId="13" xfId="0" applyNumberFormat="1" applyFont="1" applyFill="1" applyBorder="1" applyAlignment="1">
      <alignment horizontal="center" wrapText="1"/>
    </xf>
    <xf numFmtId="3" fontId="20" fillId="0" borderId="14" xfId="0" applyNumberFormat="1" applyFont="1" applyFill="1" applyBorder="1" applyAlignment="1">
      <alignment horizontal="center" wrapText="1"/>
    </xf>
    <xf numFmtId="3" fontId="20" fillId="0" borderId="1" xfId="0" applyNumberFormat="1" applyFont="1" applyFill="1" applyBorder="1" applyAlignment="1">
      <alignment horizontal="center" wrapText="1"/>
    </xf>
    <xf numFmtId="164" fontId="18" fillId="0" borderId="15" xfId="0" applyNumberFormat="1" applyFont="1" applyFill="1" applyBorder="1" applyAlignment="1">
      <alignment horizontal="center"/>
    </xf>
    <xf numFmtId="3" fontId="18" fillId="0" borderId="20" xfId="0" applyNumberFormat="1" applyFont="1" applyFill="1" applyBorder="1" applyAlignment="1">
      <alignment horizontal="center"/>
    </xf>
    <xf numFmtId="10" fontId="18" fillId="0" borderId="20" xfId="0" applyNumberFormat="1" applyFont="1" applyFill="1" applyBorder="1" applyAlignment="1">
      <alignment horizontal="center"/>
    </xf>
    <xf numFmtId="0" fontId="0" fillId="0" borderId="4" xfId="0" applyFont="1" applyFill="1" applyBorder="1" applyAlignment="1"/>
    <xf numFmtId="165" fontId="0" fillId="0" borderId="4" xfId="0" applyNumberFormat="1" applyFill="1" applyBorder="1" applyAlignment="1"/>
    <xf numFmtId="0" fontId="11" fillId="0" borderId="4" xfId="1" applyBorder="1" applyAlignment="1">
      <alignment wrapText="1"/>
    </xf>
    <xf numFmtId="0" fontId="0" fillId="0" borderId="4" xfId="0" applyFont="1" applyFill="1" applyBorder="1" applyAlignment="1">
      <alignment wrapText="1"/>
    </xf>
    <xf numFmtId="0" fontId="0" fillId="0" borderId="4" xfId="0" applyBorder="1" applyAlignment="1">
      <alignment wrapText="1"/>
    </xf>
    <xf numFmtId="0" fontId="0" fillId="0" borderId="4" xfId="0" applyFill="1" applyBorder="1" applyAlignment="1">
      <alignment wrapText="1"/>
    </xf>
    <xf numFmtId="0" fontId="1" fillId="0" borderId="6" xfId="0" applyFont="1" applyBorder="1" applyAlignment="1">
      <alignment wrapText="1"/>
    </xf>
    <xf numFmtId="10" fontId="0" fillId="0" borderId="0" xfId="0" applyNumberFormat="1" applyBorder="1" applyAlignment="1">
      <alignment wrapText="1"/>
    </xf>
    <xf numFmtId="0" fontId="1" fillId="0" borderId="7" xfId="0" applyFont="1" applyFill="1" applyBorder="1" applyAlignment="1">
      <alignment horizontal="right" wrapText="1"/>
    </xf>
    <xf numFmtId="0" fontId="1" fillId="0" borderId="8" xfId="0" applyFont="1" applyFill="1" applyBorder="1" applyAlignment="1">
      <alignment horizontal="right" wrapText="1"/>
    </xf>
    <xf numFmtId="0" fontId="16" fillId="0" borderId="0" xfId="0" applyFont="1" applyAlignment="1">
      <alignment wrapText="1"/>
    </xf>
    <xf numFmtId="0" fontId="11" fillId="0" borderId="4" xfId="1" applyFill="1" applyBorder="1" applyAlignment="1">
      <alignment wrapText="1"/>
    </xf>
    <xf numFmtId="165" fontId="0" fillId="0" borderId="4" xfId="0" applyNumberFormat="1" applyFill="1" applyBorder="1" applyAlignment="1">
      <alignment wrapText="1"/>
    </xf>
    <xf numFmtId="0" fontId="0" fillId="0" borderId="0" xfId="0" applyFont="1" applyFill="1" applyBorder="1" applyAlignment="1">
      <alignment wrapText="1"/>
    </xf>
    <xf numFmtId="3" fontId="18" fillId="0" borderId="13" xfId="0" applyNumberFormat="1" applyFont="1" applyFill="1" applyBorder="1" applyAlignment="1">
      <alignment horizontal="center" wrapText="1"/>
    </xf>
    <xf numFmtId="0" fontId="33" fillId="0" borderId="0" xfId="0" applyFont="1" applyAlignment="1">
      <alignment wrapText="1"/>
    </xf>
    <xf numFmtId="3" fontId="0" fillId="0" borderId="0" xfId="0" applyNumberFormat="1" applyBorder="1" applyAlignment="1">
      <alignment wrapText="1"/>
    </xf>
    <xf numFmtId="3" fontId="1" fillId="0" borderId="9" xfId="0" applyNumberFormat="1" applyFont="1" applyBorder="1" applyAlignment="1">
      <alignment horizontal="center" wrapText="1"/>
    </xf>
    <xf numFmtId="165" fontId="1" fillId="0" borderId="9" xfId="0" applyNumberFormat="1" applyFont="1" applyFill="1" applyBorder="1" applyAlignment="1">
      <alignment horizontal="center" wrapText="1"/>
    </xf>
    <xf numFmtId="3" fontId="0" fillId="0" borderId="0" xfId="0" applyNumberFormat="1" applyFont="1" applyFill="1" applyBorder="1" applyAlignment="1"/>
    <xf numFmtId="3" fontId="0" fillId="0" borderId="0" xfId="0" applyNumberFormat="1" applyFont="1" applyFill="1" applyBorder="1" applyAlignment="1">
      <alignment wrapText="1"/>
    </xf>
    <xf numFmtId="0" fontId="13" fillId="0" borderId="6" xfId="0" applyFont="1" applyBorder="1" applyAlignment="1">
      <alignment horizontal="center" wrapText="1"/>
    </xf>
    <xf numFmtId="4" fontId="0" fillId="0" borderId="0" xfId="0" applyNumberFormat="1" applyFill="1" applyAlignment="1">
      <alignment horizontal="center" wrapText="1"/>
    </xf>
    <xf numFmtId="4" fontId="0" fillId="0" borderId="0" xfId="0" applyNumberFormat="1" applyAlignment="1">
      <alignment horizontal="center" wrapText="1"/>
    </xf>
    <xf numFmtId="3" fontId="0" fillId="0" borderId="0" xfId="0" applyNumberFormat="1" applyFill="1" applyBorder="1" applyAlignment="1">
      <alignment horizontal="center" vertical="center" wrapText="1"/>
    </xf>
    <xf numFmtId="165" fontId="0" fillId="0" borderId="0" xfId="0" applyNumberFormat="1" applyFill="1" applyBorder="1" applyAlignment="1">
      <alignment horizontal="center" vertical="center" wrapText="1"/>
    </xf>
    <xf numFmtId="0" fontId="1" fillId="0" borderId="10" xfId="0" applyFont="1" applyBorder="1" applyAlignment="1">
      <alignment horizontal="center" wrapText="1"/>
    </xf>
    <xf numFmtId="3" fontId="1" fillId="0" borderId="3" xfId="0" applyNumberFormat="1" applyFont="1" applyFill="1" applyBorder="1" applyAlignment="1">
      <alignment horizontal="right" wrapText="1"/>
    </xf>
    <xf numFmtId="0" fontId="6" fillId="0" borderId="6" xfId="0" applyFont="1" applyBorder="1" applyAlignment="1">
      <alignment wrapText="1"/>
    </xf>
    <xf numFmtId="4" fontId="6" fillId="0" borderId="6" xfId="0" applyNumberFormat="1" applyFont="1" applyFill="1" applyBorder="1" applyAlignment="1">
      <alignment wrapText="1"/>
    </xf>
    <xf numFmtId="0" fontId="3" fillId="0" borderId="6" xfId="0" applyFont="1" applyBorder="1" applyAlignment="1">
      <alignment wrapText="1"/>
    </xf>
    <xf numFmtId="0" fontId="12" fillId="0" borderId="6" xfId="1" applyFont="1" applyBorder="1" applyAlignment="1">
      <alignment wrapText="1"/>
    </xf>
    <xf numFmtId="0" fontId="7" fillId="0" borderId="6" xfId="0" applyFont="1" applyBorder="1" applyAlignment="1">
      <alignment wrapText="1"/>
    </xf>
    <xf numFmtId="0" fontId="1" fillId="0" borderId="6" xfId="0" applyFont="1" applyBorder="1" applyAlignment="1">
      <alignment horizontal="center" vertical="center" wrapText="1"/>
    </xf>
    <xf numFmtId="3" fontId="20" fillId="3" borderId="0" xfId="0" applyNumberFormat="1" applyFont="1" applyFill="1" applyBorder="1" applyAlignment="1">
      <alignment horizontal="center" wrapText="1"/>
    </xf>
    <xf numFmtId="3" fontId="27" fillId="0" borderId="0" xfId="0" applyNumberFormat="1" applyFont="1" applyAlignment="1">
      <alignment horizontal="center" wrapText="1"/>
    </xf>
    <xf numFmtId="10" fontId="27" fillId="0" borderId="0" xfId="0" applyNumberFormat="1" applyFont="1" applyAlignment="1">
      <alignment horizontal="center" wrapText="1"/>
    </xf>
    <xf numFmtId="0" fontId="27" fillId="0" borderId="0" xfId="0" applyFont="1" applyAlignment="1">
      <alignment horizontal="center" wrapText="1"/>
    </xf>
    <xf numFmtId="3" fontId="27" fillId="0" borderId="8" xfId="0" applyNumberFormat="1" applyFont="1" applyBorder="1" applyAlignment="1">
      <alignment horizontal="center" wrapText="1"/>
    </xf>
    <xf numFmtId="10" fontId="27" fillId="0" borderId="8" xfId="0" applyNumberFormat="1" applyFont="1" applyBorder="1" applyAlignment="1">
      <alignment horizontal="center" wrapText="1"/>
    </xf>
    <xf numFmtId="3" fontId="27" fillId="0" borderId="0" xfId="0" applyNumberFormat="1" applyFont="1" applyBorder="1" applyAlignment="1">
      <alignment horizontal="center" wrapText="1"/>
    </xf>
    <xf numFmtId="10" fontId="27" fillId="0" borderId="0" xfId="0" applyNumberFormat="1" applyFont="1" applyBorder="1" applyAlignment="1">
      <alignment horizontal="center" wrapText="1"/>
    </xf>
    <xf numFmtId="10" fontId="26" fillId="0" borderId="2" xfId="0" applyNumberFormat="1" applyFont="1" applyBorder="1" applyAlignment="1">
      <alignment horizontal="center" wrapText="1"/>
    </xf>
    <xf numFmtId="10" fontId="1" fillId="0" borderId="5" xfId="0" applyNumberFormat="1" applyFont="1" applyBorder="1" applyAlignment="1">
      <alignment horizontal="center" wrapText="1"/>
    </xf>
    <xf numFmtId="10" fontId="26" fillId="0" borderId="3" xfId="0" applyNumberFormat="1" applyFont="1" applyBorder="1" applyAlignment="1">
      <alignment horizontal="center" wrapText="1"/>
    </xf>
    <xf numFmtId="3" fontId="17" fillId="0" borderId="4" xfId="0" applyNumberFormat="1" applyFont="1" applyFill="1" applyBorder="1" applyAlignment="1">
      <alignment wrapText="1"/>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 fillId="0" borderId="1" xfId="0" applyFont="1" applyBorder="1" applyAlignment="1"/>
    <xf numFmtId="0" fontId="40" fillId="0" borderId="0" xfId="1" applyNumberFormat="1" applyFont="1" applyFill="1" applyBorder="1" applyAlignment="1" applyProtection="1">
      <alignment horizontal="center" vertical="center"/>
    </xf>
    <xf numFmtId="0" fontId="40" fillId="0" borderId="0" xfId="1" applyNumberFormat="1" applyFont="1" applyFill="1" applyBorder="1" applyAlignment="1" applyProtection="1">
      <alignment horizontal="right" vertical="center"/>
    </xf>
    <xf numFmtId="0" fontId="41" fillId="0" borderId="0" xfId="0" applyFont="1" applyFill="1" applyBorder="1" applyAlignment="1"/>
    <xf numFmtId="0" fontId="0" fillId="0" borderId="0" xfId="0" applyFill="1" applyAlignment="1">
      <alignment horizontal="center"/>
    </xf>
    <xf numFmtId="4" fontId="0" fillId="0" borderId="0" xfId="0" applyNumberFormat="1" applyFill="1" applyAlignment="1"/>
    <xf numFmtId="0" fontId="40" fillId="0" borderId="0" xfId="1" applyFont="1" applyFill="1" applyBorder="1" applyAlignment="1" applyProtection="1">
      <alignment horizontal="center" vertical="center"/>
    </xf>
    <xf numFmtId="0" fontId="40" fillId="0" borderId="0" xfId="1" applyFont="1" applyFill="1" applyBorder="1" applyAlignment="1" applyProtection="1">
      <alignment horizontal="right" vertical="center"/>
    </xf>
    <xf numFmtId="0" fontId="20" fillId="0" borderId="0" xfId="0" applyFont="1" applyFill="1" applyBorder="1" applyAlignment="1">
      <alignment horizontal="left" vertical="center" wrapText="1"/>
    </xf>
    <xf numFmtId="3" fontId="20" fillId="0" borderId="0" xfId="0" applyNumberFormat="1" applyFont="1" applyFill="1" applyBorder="1" applyAlignment="1">
      <alignment horizontal="left" vertical="center" wrapText="1"/>
    </xf>
    <xf numFmtId="0" fontId="20" fillId="0" borderId="0" xfId="0" applyFont="1" applyFill="1" applyBorder="1" applyAlignment="1">
      <alignment wrapText="1"/>
    </xf>
    <xf numFmtId="4" fontId="39" fillId="2" borderId="0" xfId="0" applyNumberFormat="1" applyFont="1" applyFill="1" applyAlignment="1"/>
    <xf numFmtId="4" fontId="39" fillId="0" borderId="0" xfId="0" applyNumberFormat="1" applyFont="1" applyFill="1" applyAlignment="1"/>
    <xf numFmtId="4" fontId="42" fillId="0" borderId="0" xfId="0" applyNumberFormat="1" applyFont="1" applyFill="1" applyAlignment="1"/>
    <xf numFmtId="0" fontId="40" fillId="0" borderId="0" xfId="1" applyFont="1" applyFill="1" applyBorder="1" applyAlignment="1" applyProtection="1">
      <alignment vertical="center"/>
    </xf>
    <xf numFmtId="3" fontId="18" fillId="0" borderId="0" xfId="0" applyNumberFormat="1" applyFont="1" applyFill="1" applyBorder="1" applyAlignment="1">
      <alignment horizontal="left"/>
    </xf>
    <xf numFmtId="0" fontId="40" fillId="0" borderId="0" xfId="1" applyFont="1" applyFill="1" applyBorder="1" applyAlignment="1">
      <alignment horizontal="center"/>
    </xf>
    <xf numFmtId="0" fontId="40" fillId="0" borderId="0" xfId="1" applyFont="1" applyFill="1" applyBorder="1"/>
    <xf numFmtId="0" fontId="43" fillId="0" borderId="0" xfId="0" applyFont="1" applyBorder="1" applyAlignment="1">
      <alignment horizontal="center" vertical="top" wrapText="1"/>
    </xf>
    <xf numFmtId="0" fontId="0" fillId="3" borderId="0" xfId="0" applyFill="1" applyAlignment="1"/>
    <xf numFmtId="0" fontId="20" fillId="0" borderId="6" xfId="0" applyFont="1" applyFill="1" applyBorder="1" applyAlignment="1">
      <alignment horizontal="left" vertical="center" wrapText="1"/>
    </xf>
    <xf numFmtId="3" fontId="20" fillId="0" borderId="6" xfId="0" applyNumberFormat="1" applyFont="1" applyFill="1" applyBorder="1" applyAlignment="1">
      <alignment horizontal="left" vertical="center" wrapText="1"/>
    </xf>
    <xf numFmtId="0" fontId="40" fillId="0" borderId="6" xfId="1" applyFont="1" applyFill="1" applyBorder="1" applyAlignment="1" applyProtection="1">
      <alignment horizontal="center" vertical="center"/>
    </xf>
    <xf numFmtId="0" fontId="40" fillId="0" borderId="6" xfId="1" applyFont="1" applyFill="1" applyBorder="1" applyAlignment="1" applyProtection="1">
      <alignment vertical="center"/>
    </xf>
    <xf numFmtId="0" fontId="18" fillId="4" borderId="6" xfId="0" applyFont="1" applyFill="1" applyBorder="1"/>
    <xf numFmtId="0" fontId="0" fillId="0" borderId="6" xfId="0" applyBorder="1" applyAlignment="1"/>
    <xf numFmtId="0" fontId="20" fillId="0" borderId="6" xfId="0" applyFont="1" applyFill="1" applyBorder="1" applyAlignment="1">
      <alignment wrapText="1"/>
    </xf>
    <xf numFmtId="3" fontId="20" fillId="0" borderId="0" xfId="0" applyNumberFormat="1" applyFont="1" applyFill="1" applyBorder="1" applyAlignment="1">
      <alignment wrapText="1"/>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3" fontId="15" fillId="0" borderId="0" xfId="0" applyNumberFormat="1" applyFont="1" applyFill="1" applyBorder="1" applyAlignment="1">
      <alignment horizontal="center" vertical="center" wrapText="1"/>
    </xf>
    <xf numFmtId="0" fontId="0" fillId="0" borderId="0" xfId="0" applyBorder="1"/>
  </cellXfs>
  <cellStyles count="4">
    <cellStyle name="Comma" xfId="3" builtinId="3"/>
    <cellStyle name="Hyperlink" xfId="1" builtinId="8"/>
    <cellStyle name="Normal" xfId="0" builtinId="0"/>
    <cellStyle name="Normal 2" xfId="2"/>
  </cellStyles>
  <dxfs count="7">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s>
  <tableStyles count="0" defaultTableStyle="TableStyleMedium2" defaultPivotStyle="PivotStyleLight16"/>
  <colors>
    <mruColors>
      <color rgb="FFDFD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70241895438752E-2"/>
          <c:y val="4.184498962411997E-2"/>
          <c:w val="0.85512868630978855"/>
          <c:h val="0.86285626650435887"/>
        </c:manualLayout>
      </c:layout>
      <c:barChart>
        <c:barDir val="bar"/>
        <c:grouping val="stacked"/>
        <c:varyColors val="0"/>
        <c:ser>
          <c:idx val="1"/>
          <c:order val="0"/>
          <c:tx>
            <c:strRef>
              <c:f>Summary!$A$9</c:f>
              <c:strCache>
                <c:ptCount val="1"/>
                <c:pt idx="0">
                  <c:v>Current Status (Jan 2019)</c:v>
                </c:pt>
              </c:strCache>
            </c:strRef>
          </c:tx>
          <c:spPr>
            <a:solidFill>
              <a:srgbClr val="0070C0"/>
            </a:solidFill>
            <a:ln>
              <a:solidFill>
                <a:srgbClr val="0070C0"/>
              </a:solidFill>
            </a:ln>
          </c:spPr>
          <c:invertIfNegative val="0"/>
          <c:cat>
            <c:strRef>
              <c:f>Summary!$I$16:$I$18</c:f>
              <c:strCache>
                <c:ptCount val="3"/>
                <c:pt idx="0">
                  <c:v>National 
Waters</c:v>
                </c:pt>
                <c:pt idx="1">
                  <c:v>ABNJ</c:v>
                </c:pt>
                <c:pt idx="2">
                  <c:v>Global 
Ocean</c:v>
                </c:pt>
              </c:strCache>
            </c:strRef>
          </c:cat>
          <c:val>
            <c:numRef>
              <c:f>Summary!$D$9:$F$9</c:f>
              <c:numCache>
                <c:formatCode>0.00%</c:formatCode>
                <c:ptCount val="3"/>
                <c:pt idx="0">
                  <c:v>0.17311903040622495</c:v>
                </c:pt>
                <c:pt idx="1">
                  <c:v>1.1839636886442661E-2</c:v>
                </c:pt>
                <c:pt idx="2">
                  <c:v>7.4688324976207837E-2</c:v>
                </c:pt>
              </c:numCache>
            </c:numRef>
          </c:val>
          <c:extLst xmlns:c16r2="http://schemas.microsoft.com/office/drawing/2015/06/chart">
            <c:ext xmlns:c16="http://schemas.microsoft.com/office/drawing/2014/chart" uri="{C3380CC4-5D6E-409C-BE32-E72D297353CC}">
              <c16:uniqueId val="{00000000-C4CD-4790-A00B-63014A5A193A}"/>
            </c:ext>
          </c:extLst>
        </c:ser>
        <c:ser>
          <c:idx val="0"/>
          <c:order val="1"/>
          <c:tx>
            <c:strRef>
              <c:f>Summary!$A$2</c:f>
              <c:strCache>
                <c:ptCount val="1"/>
                <c:pt idx="0">
                  <c:v>National priority actions</c:v>
                </c:pt>
              </c:strCache>
            </c:strRef>
          </c:tx>
          <c:spPr>
            <a:pattFill prst="dkUpDiag">
              <a:fgClr>
                <a:srgbClr val="DFDA00"/>
              </a:fgClr>
              <a:bgClr>
                <a:schemeClr val="bg1"/>
              </a:bgClr>
            </a:pattFill>
            <a:ln>
              <a:solidFill>
                <a:srgbClr val="DFDA00"/>
              </a:solidFill>
            </a:ln>
          </c:spPr>
          <c:invertIfNegative val="0"/>
          <c:cat>
            <c:strRef>
              <c:f>Summary!$I$16:$I$18</c:f>
              <c:strCache>
                <c:ptCount val="3"/>
                <c:pt idx="0">
                  <c:v>National 
Waters</c:v>
                </c:pt>
                <c:pt idx="1">
                  <c:v>ABNJ</c:v>
                </c:pt>
                <c:pt idx="2">
                  <c:v>Global 
Ocean</c:v>
                </c:pt>
              </c:strCache>
            </c:strRef>
          </c:cat>
          <c:val>
            <c:numRef>
              <c:f>Summary!$D$2:$F$2</c:f>
              <c:numCache>
                <c:formatCode>#,##0</c:formatCode>
                <c:ptCount val="3"/>
                <c:pt idx="0" formatCode="0.00%">
                  <c:v>9.3725328454874446E-4</c:v>
                </c:pt>
                <c:pt idx="1">
                  <c:v>0</c:v>
                </c:pt>
                <c:pt idx="2" formatCode="0.00%">
                  <c:v>3.652366124162462E-4</c:v>
                </c:pt>
              </c:numCache>
            </c:numRef>
          </c:val>
          <c:extLst xmlns:c16r2="http://schemas.microsoft.com/office/drawing/2015/06/chart">
            <c:ext xmlns:c16="http://schemas.microsoft.com/office/drawing/2014/chart" uri="{C3380CC4-5D6E-409C-BE32-E72D297353CC}">
              <c16:uniqueId val="{00000001-C4CD-4790-A00B-63014A5A193A}"/>
            </c:ext>
          </c:extLst>
        </c:ser>
        <c:ser>
          <c:idx val="2"/>
          <c:order val="2"/>
          <c:tx>
            <c:strRef>
              <c:f>Summary!$A$3</c:f>
              <c:strCache>
                <c:ptCount val="1"/>
                <c:pt idx="0">
                  <c:v>Approved GEF-5/GEF-6 projects </c:v>
                </c:pt>
              </c:strCache>
            </c:strRef>
          </c:tx>
          <c:spPr>
            <a:pattFill prst="dkDnDiag">
              <a:fgClr>
                <a:schemeClr val="accent2">
                  <a:lumMod val="75000"/>
                </a:schemeClr>
              </a:fgClr>
              <a:bgClr>
                <a:schemeClr val="bg1"/>
              </a:bgClr>
            </a:pattFill>
            <a:ln>
              <a:solidFill>
                <a:schemeClr val="accent2">
                  <a:lumMod val="75000"/>
                </a:schemeClr>
              </a:solidFill>
            </a:ln>
          </c:spPr>
          <c:invertIfNegative val="0"/>
          <c:cat>
            <c:strRef>
              <c:f>Summary!$I$16:$I$18</c:f>
              <c:strCache>
                <c:ptCount val="3"/>
                <c:pt idx="0">
                  <c:v>National 
Waters</c:v>
                </c:pt>
                <c:pt idx="1">
                  <c:v>ABNJ</c:v>
                </c:pt>
                <c:pt idx="2">
                  <c:v>Global 
Ocean</c:v>
                </c:pt>
              </c:strCache>
            </c:strRef>
          </c:cat>
          <c:val>
            <c:numRef>
              <c:f>Summary!$D$3:$F$3</c:f>
              <c:numCache>
                <c:formatCode>#,##0</c:formatCode>
                <c:ptCount val="3"/>
                <c:pt idx="0" formatCode="0.00%">
                  <c:v>3.6152727691478076E-3</c:v>
                </c:pt>
                <c:pt idx="1">
                  <c:v>0</c:v>
                </c:pt>
                <c:pt idx="2" formatCode="0.00%">
                  <c:v>1.4088293964208288E-3</c:v>
                </c:pt>
              </c:numCache>
            </c:numRef>
          </c:val>
          <c:extLst xmlns:c16r2="http://schemas.microsoft.com/office/drawing/2015/06/chart">
            <c:ext xmlns:c16="http://schemas.microsoft.com/office/drawing/2014/chart" uri="{C3380CC4-5D6E-409C-BE32-E72D297353CC}">
              <c16:uniqueId val="{00000002-C4CD-4790-A00B-63014A5A193A}"/>
            </c:ext>
          </c:extLst>
        </c:ser>
        <c:ser>
          <c:idx val="3"/>
          <c:order val="3"/>
          <c:tx>
            <c:strRef>
              <c:f>Summary!$A$4</c:f>
              <c:strCache>
                <c:ptCount val="1"/>
                <c:pt idx="0">
                  <c:v>UN Ocean Conference Voluntary commitments </c:v>
                </c:pt>
              </c:strCache>
            </c:strRef>
          </c:tx>
          <c:spPr>
            <a:pattFill prst="dkUpDiag">
              <a:fgClr>
                <a:schemeClr val="accent3">
                  <a:lumMod val="75000"/>
                </a:schemeClr>
              </a:fgClr>
              <a:bgClr>
                <a:schemeClr val="bg1"/>
              </a:bgClr>
            </a:pattFill>
            <a:ln>
              <a:solidFill>
                <a:schemeClr val="accent3">
                  <a:lumMod val="75000"/>
                </a:schemeClr>
              </a:solidFill>
            </a:ln>
          </c:spPr>
          <c:invertIfNegative val="0"/>
          <c:cat>
            <c:strRef>
              <c:f>Summary!$I$16:$I$18</c:f>
              <c:strCache>
                <c:ptCount val="3"/>
                <c:pt idx="0">
                  <c:v>National 
Waters</c:v>
                </c:pt>
                <c:pt idx="1">
                  <c:v>ABNJ</c:v>
                </c:pt>
                <c:pt idx="2">
                  <c:v>Global 
Ocean</c:v>
                </c:pt>
              </c:strCache>
            </c:strRef>
          </c:cat>
          <c:val>
            <c:numRef>
              <c:f>Summary!$D$4:$F$4</c:f>
              <c:numCache>
                <c:formatCode>0.00%</c:formatCode>
                <c:ptCount val="3"/>
                <c:pt idx="0">
                  <c:v>4.1065000199551296E-2</c:v>
                </c:pt>
                <c:pt idx="1">
                  <c:v>8.1398399541954929E-3</c:v>
                </c:pt>
                <c:pt idx="2">
                  <c:v>2.0970388739165256E-2</c:v>
                </c:pt>
              </c:numCache>
            </c:numRef>
          </c:val>
          <c:extLst xmlns:c16r2="http://schemas.microsoft.com/office/drawing/2015/06/chart">
            <c:ext xmlns:c16="http://schemas.microsoft.com/office/drawing/2014/chart" uri="{C3380CC4-5D6E-409C-BE32-E72D297353CC}">
              <c16:uniqueId val="{00000003-C4CD-4790-A00B-63014A5A193A}"/>
            </c:ext>
          </c:extLst>
        </c:ser>
        <c:ser>
          <c:idx val="4"/>
          <c:order val="4"/>
          <c:tx>
            <c:strRef>
              <c:f>Summary!$A$5</c:f>
              <c:strCache>
                <c:ptCount val="1"/>
                <c:pt idx="0">
                  <c:v>Other sites (incl Micronesia &amp; Caribbean Challenges)</c:v>
                </c:pt>
              </c:strCache>
            </c:strRef>
          </c:tx>
          <c:spPr>
            <a:pattFill prst="dkDnDiag">
              <a:fgClr>
                <a:schemeClr val="accent4">
                  <a:lumMod val="75000"/>
                </a:schemeClr>
              </a:fgClr>
              <a:bgClr>
                <a:schemeClr val="bg1"/>
              </a:bgClr>
            </a:pattFill>
            <a:ln>
              <a:solidFill>
                <a:schemeClr val="accent4">
                  <a:lumMod val="75000"/>
                </a:schemeClr>
              </a:solidFill>
            </a:ln>
          </c:spPr>
          <c:invertIfNegative val="0"/>
          <c:cat>
            <c:strRef>
              <c:f>Summary!$I$16:$I$18</c:f>
              <c:strCache>
                <c:ptCount val="3"/>
                <c:pt idx="0">
                  <c:v>National 
Waters</c:v>
                </c:pt>
                <c:pt idx="1">
                  <c:v>ABNJ</c:v>
                </c:pt>
                <c:pt idx="2">
                  <c:v>Global 
Ocean</c:v>
                </c:pt>
              </c:strCache>
            </c:strRef>
          </c:cat>
          <c:val>
            <c:numRef>
              <c:f>Summary!$D$5:$F$5</c:f>
              <c:numCache>
                <c:formatCode>#,##0</c:formatCode>
                <c:ptCount val="3"/>
                <c:pt idx="0" formatCode="0.00%">
                  <c:v>1.1942699538612423E-2</c:v>
                </c:pt>
                <c:pt idx="1">
                  <c:v>0</c:v>
                </c:pt>
                <c:pt idx="2" formatCode="0.00%">
                  <c:v>4.6539299402807424E-3</c:v>
                </c:pt>
              </c:numCache>
            </c:numRef>
          </c:val>
          <c:extLst xmlns:c16r2="http://schemas.microsoft.com/office/drawing/2015/06/chart">
            <c:ext xmlns:c16="http://schemas.microsoft.com/office/drawing/2014/chart" uri="{C3380CC4-5D6E-409C-BE32-E72D297353CC}">
              <c16:uniqueId val="{00000004-C4CD-4790-A00B-63014A5A193A}"/>
            </c:ext>
          </c:extLst>
        </c:ser>
        <c:ser>
          <c:idx val="6"/>
          <c:order val="5"/>
          <c:tx>
            <c:strRef>
              <c:f>Summary!$A$6</c:f>
              <c:strCache>
                <c:ptCount val="1"/>
                <c:pt idx="0">
                  <c:v>MPA targets in post-COP10 NBSAPs</c:v>
                </c:pt>
              </c:strCache>
            </c:strRef>
          </c:tx>
          <c:spPr>
            <a:pattFill prst="dkUpDiag">
              <a:fgClr>
                <a:schemeClr val="accent6">
                  <a:lumMod val="75000"/>
                </a:schemeClr>
              </a:fgClr>
              <a:bgClr>
                <a:schemeClr val="bg1"/>
              </a:bgClr>
            </a:pattFill>
            <a:ln>
              <a:solidFill>
                <a:schemeClr val="accent6">
                  <a:lumMod val="75000"/>
                </a:schemeClr>
              </a:solidFill>
            </a:ln>
          </c:spPr>
          <c:invertIfNegative val="0"/>
          <c:cat>
            <c:strRef>
              <c:f>Summary!$I$16:$I$18</c:f>
              <c:strCache>
                <c:ptCount val="3"/>
                <c:pt idx="0">
                  <c:v>National 
Waters</c:v>
                </c:pt>
                <c:pt idx="1">
                  <c:v>ABNJ</c:v>
                </c:pt>
                <c:pt idx="2">
                  <c:v>Global 
Ocean</c:v>
                </c:pt>
              </c:strCache>
            </c:strRef>
          </c:cat>
          <c:val>
            <c:numRef>
              <c:f>Summary!$D$6:$F$6</c:f>
              <c:numCache>
                <c:formatCode>#,##0</c:formatCode>
                <c:ptCount val="3"/>
                <c:pt idx="0" formatCode="0.00%">
                  <c:v>1.0879265178855407E-2</c:v>
                </c:pt>
                <c:pt idx="1">
                  <c:v>0</c:v>
                </c:pt>
                <c:pt idx="2" formatCode="0.00%">
                  <c:v>4.2395220427702031E-3</c:v>
                </c:pt>
              </c:numCache>
            </c:numRef>
          </c:val>
          <c:extLst xmlns:c16r2="http://schemas.microsoft.com/office/drawing/2015/06/chart">
            <c:ext xmlns:c16="http://schemas.microsoft.com/office/drawing/2014/chart" uri="{C3380CC4-5D6E-409C-BE32-E72D297353CC}">
              <c16:uniqueId val="{00000006-C4CD-4790-A00B-63014A5A193A}"/>
            </c:ext>
          </c:extLst>
        </c:ser>
        <c:dLbls>
          <c:showLegendKey val="0"/>
          <c:showVal val="0"/>
          <c:showCatName val="0"/>
          <c:showSerName val="0"/>
          <c:showPercent val="0"/>
          <c:showBubbleSize val="0"/>
        </c:dLbls>
        <c:gapWidth val="50"/>
        <c:overlap val="100"/>
        <c:axId val="127337600"/>
        <c:axId val="127339520"/>
      </c:barChart>
      <c:catAx>
        <c:axId val="127337600"/>
        <c:scaling>
          <c:orientation val="minMax"/>
        </c:scaling>
        <c:delete val="0"/>
        <c:axPos val="l"/>
        <c:numFmt formatCode="General" sourceLinked="0"/>
        <c:majorTickMark val="out"/>
        <c:minorTickMark val="none"/>
        <c:tickLblPos val="nextTo"/>
        <c:txPr>
          <a:bodyPr/>
          <a:lstStyle/>
          <a:p>
            <a:pPr>
              <a:defRPr sz="1100"/>
            </a:pPr>
            <a:endParaRPr lang="en-US"/>
          </a:p>
        </c:txPr>
        <c:crossAx val="127339520"/>
        <c:crosses val="autoZero"/>
        <c:auto val="1"/>
        <c:lblAlgn val="ctr"/>
        <c:lblOffset val="100"/>
        <c:noMultiLvlLbl val="0"/>
      </c:catAx>
      <c:valAx>
        <c:axId val="127339520"/>
        <c:scaling>
          <c:orientation val="minMax"/>
          <c:max val="0.28000000000000003"/>
          <c:min val="0"/>
        </c:scaling>
        <c:delete val="0"/>
        <c:axPos val="b"/>
        <c:majorGridlines/>
        <c:numFmt formatCode="0%" sourceLinked="0"/>
        <c:majorTickMark val="out"/>
        <c:minorTickMark val="none"/>
        <c:tickLblPos val="nextTo"/>
        <c:txPr>
          <a:bodyPr/>
          <a:lstStyle/>
          <a:p>
            <a:pPr>
              <a:defRPr sz="1100"/>
            </a:pPr>
            <a:endParaRPr lang="en-US"/>
          </a:p>
        </c:txPr>
        <c:crossAx val="127337600"/>
        <c:crosses val="autoZero"/>
        <c:crossBetween val="between"/>
        <c:majorUnit val="0.1"/>
      </c:valAx>
    </c:plotArea>
    <c:legend>
      <c:legendPos val="r"/>
      <c:layout>
        <c:manualLayout>
          <c:xMode val="edge"/>
          <c:yMode val="edge"/>
          <c:x val="0.54620901813707201"/>
          <c:y val="3.7497244281284592E-2"/>
          <c:w val="0.44215340912809836"/>
          <c:h val="0.36304027356057617"/>
        </c:manualLayout>
      </c:layout>
      <c:overlay val="0"/>
      <c:spPr>
        <a:solidFill>
          <a:schemeClr val="bg1"/>
        </a:solidFill>
      </c:spPr>
      <c:txPr>
        <a:bodyPr/>
        <a:lstStyle/>
        <a:p>
          <a:pPr>
            <a:defRPr sz="1100"/>
          </a:pPr>
          <a:endParaRPr lang="en-US"/>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685800</xdr:colOff>
      <xdr:row>12</xdr:row>
      <xdr:rowOff>161926</xdr:rowOff>
    </xdr:from>
    <xdr:to>
      <xdr:col>9</xdr:col>
      <xdr:colOff>38099</xdr:colOff>
      <xdr:row>35</xdr:row>
      <xdr:rowOff>0</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0.33622</cdr:x>
      <cdr:y>0.00533</cdr:y>
    </cdr:from>
    <cdr:to>
      <cdr:x>0.47381</cdr:x>
      <cdr:y>0.07723</cdr:y>
    </cdr:to>
    <cdr:sp macro="" textlink="">
      <cdr:nvSpPr>
        <cdr:cNvPr id="2" name="TextBox 1"/>
        <cdr:cNvSpPr txBox="1"/>
      </cdr:nvSpPr>
      <cdr:spPr>
        <a:xfrm xmlns:a="http://schemas.openxmlformats.org/drawingml/2006/main">
          <a:off x="3119263" y="24623"/>
          <a:ext cx="1276471" cy="33215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CA" sz="1100" b="1"/>
            <a:t>Target (10%)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hegef.org/project/implementing-ridge-reef-approach-protecting-biodiversity-and-ecosystem-functions-within-and" TargetMode="External"/><Relationship Id="rId13" Type="http://schemas.openxmlformats.org/officeDocument/2006/relationships/hyperlink" Target="https://www.thegef.org/project/resilient-islands-resilient-communities" TargetMode="External"/><Relationship Id="rId18" Type="http://schemas.openxmlformats.org/officeDocument/2006/relationships/hyperlink" Target="https://www.thegef.org/project/r2r-implementing-ridge-reef-approach-protect-biodiversity-and-ecosystem-functions" TargetMode="External"/><Relationship Id="rId26" Type="http://schemas.openxmlformats.org/officeDocument/2006/relationships/hyperlink" Target="https://www.thegef.org/project/integrated-ecosystem-approach-biodiversity-mainstreaming-and-conservation-buffer-zones-obo" TargetMode="External"/><Relationship Id="rId3" Type="http://schemas.openxmlformats.org/officeDocument/2006/relationships/hyperlink" Target="https://www.thegef.org/project/chinas-protected-area-system-reform-c-par" TargetMode="External"/><Relationship Id="rId21" Type="http://schemas.openxmlformats.org/officeDocument/2006/relationships/hyperlink" Target="https://www.thegef.org/project/strengthening-marine-protected-area-system-conserve-marine-key-biodiversity-areas" TargetMode="External"/><Relationship Id="rId7" Type="http://schemas.openxmlformats.org/officeDocument/2006/relationships/hyperlink" Target="https://www.thegef.org/project/implementing-ridge-reef-approach-preserve-ecosystem-services-sequester-carbon-improve" TargetMode="External"/><Relationship Id="rId12" Type="http://schemas.openxmlformats.org/officeDocument/2006/relationships/hyperlink" Target="https://www.thegef.org/project/cti-coral-reef-rehabilitation-and-management-program-coral-triangle-initiative-phase-iii" TargetMode="External"/><Relationship Id="rId17" Type="http://schemas.openxmlformats.org/officeDocument/2006/relationships/hyperlink" Target="https://www.thegef.org/project/conserving-biodiversity-and-reducing-habitat-degradation-protected-areas-and-their-buffer" TargetMode="External"/><Relationship Id="rId25" Type="http://schemas.openxmlformats.org/officeDocument/2006/relationships/hyperlink" Target="https://www.thegef.org/project/s3mr-sustainable-management-madagascars-marine-resources" TargetMode="External"/><Relationship Id="rId2" Type="http://schemas.openxmlformats.org/officeDocument/2006/relationships/hyperlink" Target="https://www.thegef.org/project/increasing-representation-effectively-managed-marine-ecosystems-protected-area-system" TargetMode="External"/><Relationship Id="rId16" Type="http://schemas.openxmlformats.org/officeDocument/2006/relationships/hyperlink" Target="https://www.thegef.org/project/improving-management-effectiveness-protected-area-network" TargetMode="External"/><Relationship Id="rId20" Type="http://schemas.openxmlformats.org/officeDocument/2006/relationships/hyperlink" Target="https://www.thegef.org/project/lme-ea-coastal-resources-sustainable-development-mainstreaming-application-marine-spatial" TargetMode="External"/><Relationship Id="rId1" Type="http://schemas.openxmlformats.org/officeDocument/2006/relationships/hyperlink" Target="https://www.thegef.org/project/governance-strengthening-management-and-protection-coastal-marine-biodiversity-key" TargetMode="External"/><Relationship Id="rId6" Type="http://schemas.openxmlformats.org/officeDocument/2006/relationships/hyperlink" Target="https://www.thegef.org/project/integrated-management-marine-and-coastal-areas-high-value-biodiversity-continental-ecuador" TargetMode="External"/><Relationship Id="rId11" Type="http://schemas.openxmlformats.org/officeDocument/2006/relationships/hyperlink" Target="https://www.thegef.org/project/strengthening-sub-system-coastal-and-marine-protected-areas" TargetMode="External"/><Relationship Id="rId24" Type="http://schemas.openxmlformats.org/officeDocument/2006/relationships/hyperlink" Target="https://www.thegef.org/project/expanding-conservation-areas-reach-and-effectivenessecare-vanuatu" TargetMode="External"/><Relationship Id="rId5" Type="http://schemas.openxmlformats.org/officeDocument/2006/relationships/hyperlink" Target="https://www.thegef.org/project/mitigating-key-sector-pressures-marine-and-coastal-biodiversity-and-further-strengthening" TargetMode="External"/><Relationship Id="rId15" Type="http://schemas.openxmlformats.org/officeDocument/2006/relationships/hyperlink" Target="https://www.thegef.org/project/expansion-and-strengthening-protected-area-subsystem-outer-islands-seychelles-and-its" TargetMode="External"/><Relationship Id="rId23" Type="http://schemas.openxmlformats.org/officeDocument/2006/relationships/hyperlink" Target="https://www.thegef.org/project/promoting-protected-areas-management-through-integrated-marine-and-coastal-ecosystems" TargetMode="External"/><Relationship Id="rId10" Type="http://schemas.openxmlformats.org/officeDocument/2006/relationships/hyperlink" Target="https://www.thegef.org/project/increasing-resilience-ecosystems-and-vulnerable-communities-cc-and-anthropic-threats-through" TargetMode="External"/><Relationship Id="rId19" Type="http://schemas.openxmlformats.org/officeDocument/2006/relationships/hyperlink" Target="https://www.thegef.org/project/r2r-integrated-sustainable-land-and-coastal-management" TargetMode="External"/><Relationship Id="rId4" Type="http://schemas.openxmlformats.org/officeDocument/2006/relationships/hyperlink" Target="https://www.thegef.org/project/creation-loungo-bay-marine-protected-area-support-turtles-conservation-congo" TargetMode="External"/><Relationship Id="rId9" Type="http://schemas.openxmlformats.org/officeDocument/2006/relationships/hyperlink" Target="https://www.thegef.org/project/conservation-and-sustainable-use-biodiversity-coastal-and-marine-protected-areas-mpas" TargetMode="External"/><Relationship Id="rId14" Type="http://schemas.openxmlformats.org/officeDocument/2006/relationships/hyperlink" Target="https://www.thegef.org/project/application-ridge-reef-concept-biodiversity-conservation-and-enhancement-ecosystem-service" TargetMode="External"/><Relationship Id="rId22" Type="http://schemas.openxmlformats.org/officeDocument/2006/relationships/hyperlink" Target="https://www.thegef.org/project/landscape-planning-and-restoration-improve-ecosystem-services-and-livelihoods-expand-and"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oceanconference.un.org/commitments/?id=19899" TargetMode="External"/><Relationship Id="rId13" Type="http://schemas.openxmlformats.org/officeDocument/2006/relationships/hyperlink" Target="https://oceanconference.un.org/commitments/?id=16676" TargetMode="External"/><Relationship Id="rId18" Type="http://schemas.openxmlformats.org/officeDocument/2006/relationships/printerSettings" Target="../printerSettings/printerSettings5.bin"/><Relationship Id="rId3" Type="http://schemas.openxmlformats.org/officeDocument/2006/relationships/hyperlink" Target="https://oceanconference.un.org/commitments/?id=15560" TargetMode="External"/><Relationship Id="rId7" Type="http://schemas.openxmlformats.org/officeDocument/2006/relationships/hyperlink" Target="https://oceanconference.un.org/commitments/?id=18379" TargetMode="External"/><Relationship Id="rId12" Type="http://schemas.openxmlformats.org/officeDocument/2006/relationships/hyperlink" Target="https://oceanconference.un.org/commitments/?id=19023" TargetMode="External"/><Relationship Id="rId17" Type="http://schemas.openxmlformats.org/officeDocument/2006/relationships/hyperlink" Target="https://oceanconference.un.org/commitments/?id=16038" TargetMode="External"/><Relationship Id="rId2" Type="http://schemas.openxmlformats.org/officeDocument/2006/relationships/hyperlink" Target="https://oceanconference.un.org/commitments/?id=15593" TargetMode="External"/><Relationship Id="rId16" Type="http://schemas.openxmlformats.org/officeDocument/2006/relationships/hyperlink" Target="https://oceanconference.un.org/commitments/?id=21472" TargetMode="External"/><Relationship Id="rId1" Type="http://schemas.openxmlformats.org/officeDocument/2006/relationships/hyperlink" Target="https://oceanconference.un.org/commitments/?id=14548" TargetMode="External"/><Relationship Id="rId6" Type="http://schemas.openxmlformats.org/officeDocument/2006/relationships/hyperlink" Target="https://oceanconference.un.org/commitments/?id=18211" TargetMode="External"/><Relationship Id="rId11" Type="http://schemas.openxmlformats.org/officeDocument/2006/relationships/hyperlink" Target="https://oceanconference.un.org/commitments/?id=18259" TargetMode="External"/><Relationship Id="rId5" Type="http://schemas.openxmlformats.org/officeDocument/2006/relationships/hyperlink" Target="https://oceanconference.un.org/commitments/?id=18142" TargetMode="External"/><Relationship Id="rId15" Type="http://schemas.openxmlformats.org/officeDocument/2006/relationships/hyperlink" Target="https://oceanconference.un.org/commitments/?id=21256" TargetMode="External"/><Relationship Id="rId10" Type="http://schemas.openxmlformats.org/officeDocument/2006/relationships/hyperlink" Target="https://oceanconference.un.org/commitments/?id=21136" TargetMode="External"/><Relationship Id="rId4" Type="http://schemas.openxmlformats.org/officeDocument/2006/relationships/hyperlink" Target="https://oceanconference.un.org/commitments/?id=15763" TargetMode="External"/><Relationship Id="rId9" Type="http://schemas.openxmlformats.org/officeDocument/2006/relationships/hyperlink" Target="https://oceanconference.un.org/commitments/?id=20772" TargetMode="External"/><Relationship Id="rId14" Type="http://schemas.openxmlformats.org/officeDocument/2006/relationships/hyperlink" Target="https://oceanconference.un.org/commitments/?id=20294"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cbd.int/doc/world/er/er-nbsap-v2-en.pdf" TargetMode="External"/><Relationship Id="rId18" Type="http://schemas.openxmlformats.org/officeDocument/2006/relationships/hyperlink" Target="https://www.cbd.int/doc/world/jm/jm-nbsap-v2-en.pdf" TargetMode="External"/><Relationship Id="rId26" Type="http://schemas.openxmlformats.org/officeDocument/2006/relationships/hyperlink" Target="https://www.cbd.int/doc/world/ws/ws-nbsap-v2-en.pdf" TargetMode="External"/><Relationship Id="rId39" Type="http://schemas.openxmlformats.org/officeDocument/2006/relationships/hyperlink" Target="https://www.cbd.int/doc/world/vc/vc-nbsap-v2-en.pdf" TargetMode="External"/><Relationship Id="rId21" Type="http://schemas.openxmlformats.org/officeDocument/2006/relationships/hyperlink" Target="https://www.cbd.int/doc/world/mx/mx-nbsap-v2-es.pdf" TargetMode="External"/><Relationship Id="rId34" Type="http://schemas.openxmlformats.org/officeDocument/2006/relationships/hyperlink" Target="https://www.cbd.int/doc/world/az/az-nbsap-v2-en.pdf" TargetMode="External"/><Relationship Id="rId42" Type="http://schemas.openxmlformats.org/officeDocument/2006/relationships/hyperlink" Target="https://www.cbd.int/doc/world/dz/dz-nbsap-v2-fr.pdf" TargetMode="External"/><Relationship Id="rId47" Type="http://schemas.openxmlformats.org/officeDocument/2006/relationships/hyperlink" Target="https://www.cbd.int/doc/world/eg/eg-nbsap-v2-en.pdf" TargetMode="External"/><Relationship Id="rId50" Type="http://schemas.openxmlformats.org/officeDocument/2006/relationships/hyperlink" Target="https://www.cbd.int/doc/world/lr/lr-nbsap-v2-en.pdf" TargetMode="External"/><Relationship Id="rId55" Type="http://schemas.openxmlformats.org/officeDocument/2006/relationships/hyperlink" Target="https://www.cbd.int/doc/world/mz/mz-nbsap-v3-en.pdf" TargetMode="External"/><Relationship Id="rId63" Type="http://schemas.openxmlformats.org/officeDocument/2006/relationships/printerSettings" Target="../printerSettings/printerSettings6.bin"/><Relationship Id="rId7" Type="http://schemas.openxmlformats.org/officeDocument/2006/relationships/hyperlink" Target="https://www.cbd.int/doc/world/bj/bj-nbsap-v2-fr.pdf" TargetMode="External"/><Relationship Id="rId2" Type="http://schemas.openxmlformats.org/officeDocument/2006/relationships/hyperlink" Target="https://www.cbd.int/doc/world/al/al-nbsap-v2-en.pdf" TargetMode="External"/><Relationship Id="rId16" Type="http://schemas.openxmlformats.org/officeDocument/2006/relationships/hyperlink" Target="https://www.cbd.int/doc/world/gd/gd-nbsap-v2-en.pdf" TargetMode="External"/><Relationship Id="rId20" Type="http://schemas.openxmlformats.org/officeDocument/2006/relationships/hyperlink" Target="https://www.cbd.int/doc/world/jo/jo-nbsap-v2-en.pdf" TargetMode="External"/><Relationship Id="rId29" Type="http://schemas.openxmlformats.org/officeDocument/2006/relationships/hyperlink" Target="https://www.cbd.int/doc/world/sd/sd-nbsap-v2-en.pdf" TargetMode="External"/><Relationship Id="rId41" Type="http://schemas.openxmlformats.org/officeDocument/2006/relationships/hyperlink" Target="https://www.cbd.int/doc/world/id/id-nbsap-v3-en.pdf" TargetMode="External"/><Relationship Id="rId54" Type="http://schemas.openxmlformats.org/officeDocument/2006/relationships/hyperlink" Target="https://www.cbd.int/doc/world/me/me-nbsap-v2-me.pdf" TargetMode="External"/><Relationship Id="rId62" Type="http://schemas.openxmlformats.org/officeDocument/2006/relationships/hyperlink" Target="https://www.cbd.int/doc/world/za/za-nbsap-v2-en.pdf" TargetMode="External"/><Relationship Id="rId1" Type="http://schemas.openxmlformats.org/officeDocument/2006/relationships/hyperlink" Target="https://www.cbd.int/doc/world/cu/cu-nbsap-v3-es.pdf" TargetMode="External"/><Relationship Id="rId6" Type="http://schemas.openxmlformats.org/officeDocument/2006/relationships/hyperlink" Target="https://www.cbd.int/doc/world/be/be-nr-05-en.pdf" TargetMode="External"/><Relationship Id="rId11" Type="http://schemas.openxmlformats.org/officeDocument/2006/relationships/hyperlink" Target="https://www.cbd.int/doc/world/cg/cg-nbsap-v2-fr.pdf" TargetMode="External"/><Relationship Id="rId24" Type="http://schemas.openxmlformats.org/officeDocument/2006/relationships/hyperlink" Target="https://www.cbd.int/doc/world/kr/kr-nbsap-v3-en.pdf" TargetMode="External"/><Relationship Id="rId32" Type="http://schemas.openxmlformats.org/officeDocument/2006/relationships/hyperlink" Target="https://www.cbd.int/doc/world/uy/uy-nbsap-v2-es.pdf" TargetMode="External"/><Relationship Id="rId37" Type="http://schemas.openxmlformats.org/officeDocument/2006/relationships/hyperlink" Target="https://www.cbd.int/doc/world/vu/vu-nbsap-v2-en.pdf" TargetMode="External"/><Relationship Id="rId40" Type="http://schemas.openxmlformats.org/officeDocument/2006/relationships/hyperlink" Target="https://www.cbd.int/doc/world/pw/pw-nbsap-v2-en.pdf" TargetMode="External"/><Relationship Id="rId45" Type="http://schemas.openxmlformats.org/officeDocument/2006/relationships/hyperlink" Target="https://www.cbd.int/doc/world/km/km-nbsap-v2-fr.pdf" TargetMode="External"/><Relationship Id="rId53" Type="http://schemas.openxmlformats.org/officeDocument/2006/relationships/hyperlink" Target="https://www.cbd.int/doc/world/mu/mu-nbsap-v2-en.pdf" TargetMode="External"/><Relationship Id="rId58" Type="http://schemas.openxmlformats.org/officeDocument/2006/relationships/hyperlink" Target="https://www.cbd.int/doc/world/ae/ae-nbsap-01-ar.pdf" TargetMode="External"/><Relationship Id="rId5" Type="http://schemas.openxmlformats.org/officeDocument/2006/relationships/hyperlink" Target="https://www.cbd.int/doc/world/bh/bh-nbsap-v2-en.pdf" TargetMode="External"/><Relationship Id="rId15" Type="http://schemas.openxmlformats.org/officeDocument/2006/relationships/hyperlink" Target="https://www.cbd.int/doc/world/ge/ge-nr-05-en.pdf" TargetMode="External"/><Relationship Id="rId23" Type="http://schemas.openxmlformats.org/officeDocument/2006/relationships/hyperlink" Target="https://www.cbd.int/doc/world/nz/nz-nbsap-v2-en.pdf" TargetMode="External"/><Relationship Id="rId28" Type="http://schemas.openxmlformats.org/officeDocument/2006/relationships/hyperlink" Target="https://www.cbd.int/doc/world/sb/sb-nbsap-v2-en.pdf" TargetMode="External"/><Relationship Id="rId36" Type="http://schemas.openxmlformats.org/officeDocument/2006/relationships/hyperlink" Target="https://www.cbd.int/doc/world/ye/ye-nbsap-v2-en.pdf" TargetMode="External"/><Relationship Id="rId49" Type="http://schemas.openxmlformats.org/officeDocument/2006/relationships/hyperlink" Target="https://www.cbd.int/doc/world/gh/gh-nbsap-v2-en.pdf" TargetMode="External"/><Relationship Id="rId57" Type="http://schemas.openxmlformats.org/officeDocument/2006/relationships/hyperlink" Target="https://www.cbd.int/doc/world/so/so-nbsap-01-en.pdf" TargetMode="External"/><Relationship Id="rId61" Type="http://schemas.openxmlformats.org/officeDocument/2006/relationships/hyperlink" Target="https://www.cbd.int/doc/world/gt/gt-nbsap-v2-es.pdf" TargetMode="External"/><Relationship Id="rId10" Type="http://schemas.openxmlformats.org/officeDocument/2006/relationships/hyperlink" Target="https://www.cbd.int/countries/targets/?country=ca" TargetMode="External"/><Relationship Id="rId19" Type="http://schemas.openxmlformats.org/officeDocument/2006/relationships/hyperlink" Target="https://www.cbd.int/doc/world/jp/jp-nbsap-v5-en.pdf" TargetMode="External"/><Relationship Id="rId31" Type="http://schemas.openxmlformats.org/officeDocument/2006/relationships/hyperlink" Target="https://www.cbd.int/doc/world/tz/tz-nbsap-v2-en.pdf" TargetMode="External"/><Relationship Id="rId44" Type="http://schemas.openxmlformats.org/officeDocument/2006/relationships/hyperlink" Target="https://www.cbd.int/doc/world/cv/cv-nbsap-v2-en.pdf" TargetMode="External"/><Relationship Id="rId52" Type="http://schemas.openxmlformats.org/officeDocument/2006/relationships/hyperlink" Target="https://www.cbd.int/doc/world/my/my-nbsap-v2-en.pdf" TargetMode="External"/><Relationship Id="rId60" Type="http://schemas.openxmlformats.org/officeDocument/2006/relationships/hyperlink" Target="https://www.cbd.int/doc/world/lb/lb-nbsap-v2-en.pdf" TargetMode="External"/><Relationship Id="rId4" Type="http://schemas.openxmlformats.org/officeDocument/2006/relationships/hyperlink" Target="https://www.cbd.int/doc/world/ar/ar-nbsap-v2-es.pdf" TargetMode="External"/><Relationship Id="rId9" Type="http://schemas.openxmlformats.org/officeDocument/2006/relationships/hyperlink" Target="https://www.cbd.int/doc/world/kh/kh-nbsap-v2-en.pdf" TargetMode="External"/><Relationship Id="rId14" Type="http://schemas.openxmlformats.org/officeDocument/2006/relationships/hyperlink" Target="https://www.cbd.int/doc/world/gm/gm-nbsap-v2-en.pdf" TargetMode="External"/><Relationship Id="rId22" Type="http://schemas.openxmlformats.org/officeDocument/2006/relationships/hyperlink" Target="https://www.cbd.int/doc/world/ma/ma-nbsap-v3-fr.pdf" TargetMode="External"/><Relationship Id="rId27" Type="http://schemas.openxmlformats.org/officeDocument/2006/relationships/hyperlink" Target="https://www.cbd.int/doc/world/sc/sc-nbsap-v2-en.pdf" TargetMode="External"/><Relationship Id="rId30" Type="http://schemas.openxmlformats.org/officeDocument/2006/relationships/hyperlink" Target="https://www.cbd.int/doc/world/se/se-nbsap-v3-en.pdf" TargetMode="External"/><Relationship Id="rId35" Type="http://schemas.openxmlformats.org/officeDocument/2006/relationships/hyperlink" Target="https://www.cbd.int/doc/world/pk/pk-nbsap-v2-en.pdf" TargetMode="External"/><Relationship Id="rId43" Type="http://schemas.openxmlformats.org/officeDocument/2006/relationships/hyperlink" Target="https://www.cbd.int/doc/world/bd/bd-nbsap-v2-en.pdf" TargetMode="External"/><Relationship Id="rId48" Type="http://schemas.openxmlformats.org/officeDocument/2006/relationships/hyperlink" Target="https://www.cbd.int/doc/world/ir/ir-nbsap-v2-en.pdf" TargetMode="External"/><Relationship Id="rId56" Type="http://schemas.openxmlformats.org/officeDocument/2006/relationships/hyperlink" Target="https://www.cbd.int/doc/world/pe/pe-nbsap-v2-es.pdf" TargetMode="External"/><Relationship Id="rId8" Type="http://schemas.openxmlformats.org/officeDocument/2006/relationships/hyperlink" Target="https://www.cbd.int/doc/world/br/br-nbsap-v3-en.pdf" TargetMode="External"/><Relationship Id="rId51" Type="http://schemas.openxmlformats.org/officeDocument/2006/relationships/hyperlink" Target="https://www.cbd.int/doc/world/mg/mg-nbsap-v2-en.pdf" TargetMode="External"/><Relationship Id="rId3" Type="http://schemas.openxmlformats.org/officeDocument/2006/relationships/hyperlink" Target="https://www.cbd.int/doc/world/ag/ag-nbsap-01-en.pdf" TargetMode="External"/><Relationship Id="rId12" Type="http://schemas.openxmlformats.org/officeDocument/2006/relationships/hyperlink" Target="https://www.cbd.int/doc/world/dm/dm-nbsap-v2-en.pdf" TargetMode="External"/><Relationship Id="rId17" Type="http://schemas.openxmlformats.org/officeDocument/2006/relationships/hyperlink" Target="https://www.cbd.int/doc/world/gn/gn-nbsap-v2-fr.pdf" TargetMode="External"/><Relationship Id="rId25" Type="http://schemas.openxmlformats.org/officeDocument/2006/relationships/hyperlink" Target="https://www.cbd.int/doc/world/ru/ru-nbsap-v2-en.pdf" TargetMode="External"/><Relationship Id="rId33" Type="http://schemas.openxmlformats.org/officeDocument/2006/relationships/hyperlink" Target="https://www.cbd.int/doc/world/vn/vn-nbsap-v3-en.pdf" TargetMode="External"/><Relationship Id="rId38" Type="http://schemas.openxmlformats.org/officeDocument/2006/relationships/hyperlink" Target="https://www.cbd.int/doc/world/tt/tt-nbsap-v2-en.pdf" TargetMode="External"/><Relationship Id="rId46" Type="http://schemas.openxmlformats.org/officeDocument/2006/relationships/hyperlink" Target="https://www.cbd.int/doc/world/cr/cr-nbsap-v2-es.pdf" TargetMode="External"/><Relationship Id="rId59" Type="http://schemas.openxmlformats.org/officeDocument/2006/relationships/hyperlink" Target="https://www.cbd.int/doc/world/ec/ec-nbsap-v2-p01-e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sids2014.org/partnerships/?p=7687" TargetMode="External"/><Relationship Id="rId7" Type="http://schemas.openxmlformats.org/officeDocument/2006/relationships/printerSettings" Target="../printerSettings/printerSettings7.bin"/><Relationship Id="rId2" Type="http://schemas.openxmlformats.org/officeDocument/2006/relationships/hyperlink" Target="http://www.sprep.org/biodiversity-ecosystems-management/fiji-on-target-to-meeting-global-aichi-targets-on-biodiversity" TargetMode="External"/><Relationship Id="rId1" Type="http://schemas.openxmlformats.org/officeDocument/2006/relationships/hyperlink" Target="https://www.gov.uk/government/news/uk-set-to-protect-four-million-square-kilometres-of-ocean" TargetMode="External"/><Relationship Id="rId6" Type="http://schemas.openxmlformats.org/officeDocument/2006/relationships/hyperlink" Target="http://caribbeanchallengeinitiative.org/" TargetMode="External"/><Relationship Id="rId5" Type="http://schemas.openxmlformats.org/officeDocument/2006/relationships/hyperlink" Target="http://themicronesiachallenge.blogspot.ca/p/about.html" TargetMode="External"/><Relationship Id="rId4" Type="http://schemas.openxmlformats.org/officeDocument/2006/relationships/hyperlink" Target="https://www.environment.gov.za/mediarelease/cabinetapproves_representativenetworkofMPA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20" sqref="A20"/>
    </sheetView>
  </sheetViews>
  <sheetFormatPr defaultRowHeight="15" x14ac:dyDescent="0.25"/>
  <cols>
    <col min="1" max="1" width="209.7109375" style="97" customWidth="1"/>
    <col min="2" max="16384" width="9.140625" style="97"/>
  </cols>
  <sheetData>
    <row r="1" spans="1:1" ht="18.75" x14ac:dyDescent="0.3">
      <c r="A1" s="96" t="s">
        <v>0</v>
      </c>
    </row>
    <row r="3" spans="1:1" ht="30" x14ac:dyDescent="0.25">
      <c r="A3" s="109" t="s">
        <v>503</v>
      </c>
    </row>
    <row r="4" spans="1:1" ht="45" x14ac:dyDescent="0.25">
      <c r="A4" s="98" t="s">
        <v>465</v>
      </c>
    </row>
    <row r="5" spans="1:1" ht="60" x14ac:dyDescent="0.25">
      <c r="A5" s="8" t="s">
        <v>464</v>
      </c>
    </row>
    <row r="6" spans="1:1" ht="45" x14ac:dyDescent="0.25">
      <c r="A6" s="109" t="s">
        <v>507</v>
      </c>
    </row>
    <row r="7" spans="1:1" ht="45" x14ac:dyDescent="0.25">
      <c r="A7" s="8" t="s">
        <v>463</v>
      </c>
    </row>
    <row r="8" spans="1:1" x14ac:dyDescent="0.25">
      <c r="A8" s="99"/>
    </row>
    <row r="10" spans="1:1" x14ac:dyDescent="0.25">
      <c r="A10" s="194"/>
    </row>
    <row r="11" spans="1:1" ht="30" x14ac:dyDescent="0.25">
      <c r="A11" s="195" t="s">
        <v>461</v>
      </c>
    </row>
    <row r="12" spans="1:1" ht="30" x14ac:dyDescent="0.25">
      <c r="A12" s="195" t="s">
        <v>468</v>
      </c>
    </row>
    <row r="13" spans="1:1" x14ac:dyDescent="0.25">
      <c r="A13" s="195" t="s">
        <v>462</v>
      </c>
    </row>
    <row r="14" spans="1:1" x14ac:dyDescent="0.25">
      <c r="A14" s="196" t="s">
        <v>508</v>
      </c>
    </row>
    <row r="15" spans="1:1" x14ac:dyDescent="0.25">
      <c r="A15" s="194"/>
    </row>
    <row r="16" spans="1:1" x14ac:dyDescent="0.25">
      <c r="A16" s="194"/>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workbookViewId="0">
      <selection activeCell="K9" sqref="K9"/>
    </sheetView>
  </sheetViews>
  <sheetFormatPr defaultRowHeight="15" x14ac:dyDescent="0.25"/>
  <cols>
    <col min="1" max="1" width="48" style="88" customWidth="1"/>
    <col min="2" max="2" width="16.7109375" style="88" customWidth="1"/>
    <col min="3" max="3" width="16.5703125" style="88" customWidth="1"/>
    <col min="4" max="4" width="12.85546875" style="88" customWidth="1"/>
    <col min="5" max="5" width="10.5703125" style="88" customWidth="1"/>
    <col min="6" max="6" width="10.85546875" style="88" customWidth="1"/>
    <col min="7" max="7" width="12.7109375" style="88" customWidth="1"/>
    <col min="8" max="8" width="11.5703125" style="88" bestFit="1" customWidth="1"/>
    <col min="9" max="16384" width="9.140625" style="88"/>
  </cols>
  <sheetData>
    <row r="1" spans="1:9" ht="48" customHeight="1" thickBot="1" x14ac:dyDescent="0.3">
      <c r="A1" s="86" t="s">
        <v>64</v>
      </c>
      <c r="B1" s="100" t="s">
        <v>509</v>
      </c>
      <c r="C1" s="100" t="s">
        <v>510</v>
      </c>
      <c r="D1" s="87" t="s">
        <v>321</v>
      </c>
      <c r="E1" s="100" t="s">
        <v>455</v>
      </c>
      <c r="F1" s="87" t="s">
        <v>324</v>
      </c>
    </row>
    <row r="2" spans="1:9" x14ac:dyDescent="0.25">
      <c r="A2" s="89" t="s">
        <v>322</v>
      </c>
      <c r="B2" s="283">
        <f>'Priority Actions'!C22</f>
        <v>132336.37352600001</v>
      </c>
      <c r="C2" s="283">
        <v>0</v>
      </c>
      <c r="D2" s="284">
        <f t="shared" ref="D2:D6" si="0">B2/141195956</f>
        <v>9.3725328454874446E-4</v>
      </c>
      <c r="E2" s="283">
        <v>0</v>
      </c>
      <c r="F2" s="284">
        <f t="shared" ref="F2:F6" si="1">(B2+C2)/362330525</f>
        <v>3.652366124162462E-4</v>
      </c>
      <c r="G2" s="91"/>
    </row>
    <row r="3" spans="1:9" x14ac:dyDescent="0.25">
      <c r="A3" s="8" t="s">
        <v>409</v>
      </c>
      <c r="B3" s="283">
        <f>'GEF projects'!B30</f>
        <v>510461.89484059199</v>
      </c>
      <c r="C3" s="283">
        <v>0</v>
      </c>
      <c r="D3" s="284">
        <f t="shared" si="0"/>
        <v>3.6152727691478076E-3</v>
      </c>
      <c r="E3" s="283">
        <v>0</v>
      </c>
      <c r="F3" s="284">
        <f t="shared" si="1"/>
        <v>1.4088293964208288E-3</v>
      </c>
      <c r="G3" s="91"/>
    </row>
    <row r="4" spans="1:9" ht="15" customHeight="1" x14ac:dyDescent="0.25">
      <c r="A4" s="103" t="s">
        <v>466</v>
      </c>
      <c r="B4" s="283">
        <f>'Ocean Conf commitments'!B19</f>
        <v>5798211.9613158358</v>
      </c>
      <c r="C4" s="283">
        <v>1800000</v>
      </c>
      <c r="D4" s="284">
        <f t="shared" si="0"/>
        <v>4.1065000199551296E-2</v>
      </c>
      <c r="E4" s="284">
        <f>C4/221134569</f>
        <v>8.1398399541954929E-3</v>
      </c>
      <c r="F4" s="284">
        <f>(B4+C4)/362330525</f>
        <v>2.0970388739165256E-2</v>
      </c>
      <c r="G4" s="91"/>
      <c r="H4" s="91"/>
    </row>
    <row r="5" spans="1:9" x14ac:dyDescent="0.25">
      <c r="A5" s="103" t="s">
        <v>445</v>
      </c>
      <c r="B5" s="283">
        <f>'Other commitments'!B6</f>
        <v>1686260.8785751399</v>
      </c>
      <c r="C5" s="283">
        <v>0</v>
      </c>
      <c r="D5" s="284">
        <f t="shared" si="0"/>
        <v>1.1942699538612423E-2</v>
      </c>
      <c r="E5" s="283">
        <v>0</v>
      </c>
      <c r="F5" s="284">
        <f t="shared" si="1"/>
        <v>4.6539299402807424E-3</v>
      </c>
      <c r="G5" s="91"/>
      <c r="H5" s="91"/>
    </row>
    <row r="6" spans="1:9" x14ac:dyDescent="0.25">
      <c r="A6" s="8" t="s">
        <v>410</v>
      </c>
      <c r="B6" s="283">
        <f>NBSAPs!D66</f>
        <v>1536108.2475060001</v>
      </c>
      <c r="C6" s="283">
        <v>0</v>
      </c>
      <c r="D6" s="284">
        <f t="shared" si="0"/>
        <v>1.0879265178855407E-2</v>
      </c>
      <c r="E6" s="283">
        <v>0</v>
      </c>
      <c r="F6" s="284">
        <f t="shared" si="1"/>
        <v>4.2395220427702031E-3</v>
      </c>
      <c r="G6" s="91"/>
    </row>
    <row r="7" spans="1:9" x14ac:dyDescent="0.25">
      <c r="B7" s="283"/>
      <c r="C7" s="283"/>
      <c r="D7" s="285"/>
      <c r="E7" s="283"/>
      <c r="F7" s="285"/>
    </row>
    <row r="8" spans="1:9" x14ac:dyDescent="0.25">
      <c r="A8" s="107" t="s">
        <v>347</v>
      </c>
      <c r="B8" s="286">
        <f>SUM(B2:B6)</f>
        <v>9663379.3557635676</v>
      </c>
      <c r="C8" s="286">
        <f>SUM(C2:C6)</f>
        <v>1800000</v>
      </c>
      <c r="D8" s="287">
        <f>SUM(D2:D6)</f>
        <v>6.8439490970715666E-2</v>
      </c>
      <c r="E8" s="287">
        <f>SUM(E2:E6)</f>
        <v>8.1398399541954929E-3</v>
      </c>
      <c r="F8" s="287">
        <f>SUM(F2:F6)</f>
        <v>3.1637906731053281E-2</v>
      </c>
    </row>
    <row r="9" spans="1:9" ht="15.75" thickBot="1" x14ac:dyDescent="0.3">
      <c r="A9" s="102" t="s">
        <v>408</v>
      </c>
      <c r="B9" s="288"/>
      <c r="C9" s="285"/>
      <c r="D9" s="284">
        <v>0.17311903040622495</v>
      </c>
      <c r="E9" s="289">
        <f>2618153/221134569</f>
        <v>1.1839636886442661E-2</v>
      </c>
      <c r="F9" s="284">
        <v>7.4688324976207837E-2</v>
      </c>
    </row>
    <row r="10" spans="1:9" ht="15.75" thickBot="1" x14ac:dyDescent="0.3">
      <c r="A10" s="93" t="s">
        <v>323</v>
      </c>
      <c r="B10" s="285"/>
      <c r="C10" s="285"/>
      <c r="D10" s="290">
        <f>D9+D8</f>
        <v>0.24155852137694062</v>
      </c>
      <c r="E10" s="291">
        <f t="shared" ref="E10:F10" si="2">E9+E8</f>
        <v>1.9979476840638152E-2</v>
      </c>
      <c r="F10" s="292">
        <f t="shared" si="2"/>
        <v>0.10632623170726112</v>
      </c>
    </row>
    <row r="11" spans="1:9" x14ac:dyDescent="0.25">
      <c r="D11" s="94"/>
      <c r="F11" s="94"/>
    </row>
    <row r="12" spans="1:9" x14ac:dyDescent="0.25">
      <c r="D12" s="94"/>
      <c r="F12" s="101"/>
      <c r="G12" s="103"/>
    </row>
    <row r="13" spans="1:9" x14ac:dyDescent="0.25">
      <c r="C13" s="90"/>
      <c r="D13" s="90"/>
      <c r="E13" s="90"/>
      <c r="F13" s="101"/>
      <c r="G13" s="103"/>
    </row>
    <row r="14" spans="1:9" x14ac:dyDescent="0.25">
      <c r="B14" s="91"/>
      <c r="C14" s="91"/>
      <c r="E14" s="91"/>
      <c r="F14" s="101"/>
      <c r="G14" s="103"/>
    </row>
    <row r="15" spans="1:9" x14ac:dyDescent="0.25">
      <c r="I15" s="8"/>
    </row>
    <row r="16" spans="1:9" ht="30" x14ac:dyDescent="0.25">
      <c r="I16" s="8" t="s">
        <v>350</v>
      </c>
    </row>
    <row r="17" spans="1:9" x14ac:dyDescent="0.25">
      <c r="I17" s="8" t="s">
        <v>407</v>
      </c>
    </row>
    <row r="18" spans="1:9" ht="30" x14ac:dyDescent="0.25">
      <c r="I18" s="8" t="s">
        <v>349</v>
      </c>
    </row>
    <row r="23" spans="1:9" x14ac:dyDescent="0.25">
      <c r="H23" s="92"/>
    </row>
    <row r="24" spans="1:9" x14ac:dyDescent="0.25">
      <c r="H24" s="92"/>
    </row>
    <row r="25" spans="1:9" x14ac:dyDescent="0.25">
      <c r="H25" s="92"/>
    </row>
    <row r="26" spans="1:9" x14ac:dyDescent="0.25">
      <c r="H26" s="92"/>
    </row>
    <row r="27" spans="1:9" ht="16.5" customHeight="1" x14ac:dyDescent="0.25">
      <c r="H27" s="92"/>
    </row>
    <row r="28" spans="1:9" x14ac:dyDescent="0.25">
      <c r="A28" s="92"/>
      <c r="B28" s="92"/>
      <c r="C28" s="92"/>
      <c r="D28" s="92"/>
      <c r="E28" s="92"/>
      <c r="F28" s="92"/>
      <c r="G28" s="92"/>
      <c r="H28" s="92"/>
    </row>
    <row r="29" spans="1:9" x14ac:dyDescent="0.25">
      <c r="A29" s="92"/>
      <c r="B29" s="92"/>
      <c r="C29" s="92"/>
      <c r="D29" s="92"/>
      <c r="E29" s="92"/>
      <c r="F29" s="92"/>
      <c r="G29" s="92"/>
      <c r="H29" s="92"/>
    </row>
  </sheetData>
  <pageMargins left="0.7" right="0.7" top="0.75" bottom="0.75" header="0.3" footer="0.3"/>
  <pageSetup paperSize="5"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B25" sqref="B25"/>
    </sheetView>
  </sheetViews>
  <sheetFormatPr defaultRowHeight="15" x14ac:dyDescent="0.25"/>
  <cols>
    <col min="1" max="1" width="16.42578125" style="19" bestFit="1" customWidth="1"/>
    <col min="2" max="2" width="12.5703125" style="19" customWidth="1"/>
    <col min="3" max="3" width="9.140625" style="129" customWidth="1"/>
    <col min="4" max="4" width="11.85546875" style="19" customWidth="1"/>
    <col min="5" max="5" width="34.7109375" style="19" customWidth="1"/>
    <col min="6" max="6" width="27.42578125" style="19" customWidth="1"/>
    <col min="7" max="7" width="120.42578125" style="19" bestFit="1" customWidth="1"/>
    <col min="8" max="16384" width="9.140625" style="19"/>
  </cols>
  <sheetData>
    <row r="1" spans="1:13" ht="30.75" thickBot="1" x14ac:dyDescent="0.3">
      <c r="A1" s="29" t="s">
        <v>1</v>
      </c>
      <c r="B1" s="293" t="s">
        <v>515</v>
      </c>
      <c r="C1" s="294" t="s">
        <v>139</v>
      </c>
      <c r="D1" s="295" t="s">
        <v>512</v>
      </c>
      <c r="E1" s="29" t="s">
        <v>140</v>
      </c>
      <c r="F1" s="296" t="s">
        <v>516</v>
      </c>
      <c r="G1" s="29" t="s">
        <v>141</v>
      </c>
    </row>
    <row r="2" spans="1:13" x14ac:dyDescent="0.25">
      <c r="A2" s="31" t="s">
        <v>71</v>
      </c>
      <c r="B2" s="34">
        <v>10000</v>
      </c>
      <c r="C2" s="297">
        <v>5112</v>
      </c>
      <c r="D2" s="298"/>
      <c r="E2" s="63" t="s">
        <v>142</v>
      </c>
      <c r="F2" s="19" t="s">
        <v>517</v>
      </c>
      <c r="G2" s="299" t="s">
        <v>511</v>
      </c>
      <c r="I2" s="146"/>
      <c r="J2" s="300"/>
      <c r="K2" s="146"/>
      <c r="L2" s="300"/>
      <c r="M2" s="301"/>
    </row>
    <row r="3" spans="1:13" x14ac:dyDescent="0.25">
      <c r="A3" s="31" t="s">
        <v>143</v>
      </c>
      <c r="B3" s="34">
        <v>350</v>
      </c>
      <c r="C3" s="302">
        <v>4730</v>
      </c>
      <c r="D3" s="303"/>
      <c r="E3" s="63" t="s">
        <v>142</v>
      </c>
      <c r="F3" s="19" t="s">
        <v>518</v>
      </c>
      <c r="G3" s="30"/>
      <c r="I3" s="146"/>
      <c r="J3" s="300"/>
      <c r="K3" s="146"/>
      <c r="L3" s="300"/>
      <c r="M3" s="301"/>
    </row>
    <row r="4" spans="1:13" x14ac:dyDescent="0.25">
      <c r="A4" s="304" t="s">
        <v>26</v>
      </c>
      <c r="B4" s="305">
        <v>400</v>
      </c>
      <c r="C4" s="302">
        <v>9403</v>
      </c>
      <c r="D4" s="303"/>
      <c r="E4" s="64" t="s">
        <v>144</v>
      </c>
      <c r="F4" s="19" t="s">
        <v>518</v>
      </c>
      <c r="G4" s="306"/>
      <c r="I4" s="146"/>
      <c r="J4" s="300"/>
      <c r="K4" s="146"/>
      <c r="L4" s="300"/>
      <c r="M4" s="301"/>
    </row>
    <row r="5" spans="1:13" x14ac:dyDescent="0.25">
      <c r="A5" s="19" t="s">
        <v>172</v>
      </c>
      <c r="B5" s="307" t="s">
        <v>519</v>
      </c>
      <c r="C5" s="302">
        <v>5288</v>
      </c>
      <c r="D5" s="303"/>
      <c r="E5" s="64" t="s">
        <v>142</v>
      </c>
      <c r="F5" s="19" t="s">
        <v>517</v>
      </c>
      <c r="G5" s="306"/>
      <c r="I5" s="146"/>
      <c r="J5" s="300"/>
      <c r="K5" s="146"/>
      <c r="L5" s="300"/>
      <c r="M5" s="308"/>
    </row>
    <row r="6" spans="1:13" x14ac:dyDescent="0.25">
      <c r="A6" s="19" t="s">
        <v>5</v>
      </c>
      <c r="B6" s="307" t="s">
        <v>519</v>
      </c>
      <c r="C6" s="302">
        <v>5062</v>
      </c>
      <c r="D6" s="303"/>
      <c r="E6" s="64" t="s">
        <v>142</v>
      </c>
      <c r="F6" s="19" t="s">
        <v>518</v>
      </c>
      <c r="G6" s="306"/>
      <c r="I6" s="146"/>
      <c r="J6" s="300"/>
      <c r="K6" s="146"/>
      <c r="L6" s="300"/>
      <c r="M6" s="308"/>
    </row>
    <row r="7" spans="1:13" x14ac:dyDescent="0.25">
      <c r="A7" s="31" t="s">
        <v>87</v>
      </c>
      <c r="B7" s="34">
        <v>150</v>
      </c>
      <c r="C7" s="302">
        <v>5806</v>
      </c>
      <c r="D7" s="303"/>
      <c r="E7" s="64" t="s">
        <v>142</v>
      </c>
      <c r="F7" s="19" t="s">
        <v>520</v>
      </c>
      <c r="G7" s="306"/>
      <c r="I7" s="146"/>
      <c r="J7" s="300"/>
      <c r="K7" s="146"/>
      <c r="L7" s="300"/>
      <c r="M7" s="301"/>
    </row>
    <row r="8" spans="1:13" x14ac:dyDescent="0.25">
      <c r="A8" s="31" t="s">
        <v>145</v>
      </c>
      <c r="B8" s="34">
        <v>290</v>
      </c>
      <c r="C8" s="302">
        <v>9215</v>
      </c>
      <c r="D8" s="303"/>
      <c r="E8" s="63" t="s">
        <v>142</v>
      </c>
      <c r="F8" s="19" t="s">
        <v>518</v>
      </c>
      <c r="G8" s="306"/>
      <c r="I8" s="146"/>
      <c r="J8" s="300"/>
      <c r="K8" s="146"/>
      <c r="L8" s="300"/>
      <c r="M8" s="301"/>
    </row>
    <row r="9" spans="1:13" x14ac:dyDescent="0.25">
      <c r="A9" s="31" t="s">
        <v>146</v>
      </c>
      <c r="B9" s="34">
        <v>150</v>
      </c>
      <c r="C9" s="302">
        <v>4770</v>
      </c>
      <c r="D9" s="303"/>
      <c r="E9" s="64" t="s">
        <v>142</v>
      </c>
      <c r="F9" s="19" t="s">
        <v>517</v>
      </c>
      <c r="G9" s="306"/>
      <c r="I9" s="146"/>
      <c r="J9" s="300"/>
      <c r="K9" s="146"/>
      <c r="L9" s="300"/>
      <c r="M9" s="301"/>
    </row>
    <row r="10" spans="1:13" x14ac:dyDescent="0.25">
      <c r="A10" s="31" t="s">
        <v>148</v>
      </c>
      <c r="B10" s="34">
        <v>55.34</v>
      </c>
      <c r="C10" s="297">
        <v>5398</v>
      </c>
      <c r="D10" s="298"/>
      <c r="E10" s="64" t="s">
        <v>142</v>
      </c>
      <c r="F10" s="19" t="s">
        <v>518</v>
      </c>
      <c r="G10" s="306"/>
      <c r="I10" s="146"/>
      <c r="J10" s="300"/>
      <c r="K10" s="146"/>
      <c r="L10" s="300"/>
      <c r="M10" s="301"/>
    </row>
    <row r="11" spans="1:13" x14ac:dyDescent="0.25">
      <c r="A11" s="31" t="s">
        <v>209</v>
      </c>
      <c r="B11" s="34">
        <v>280</v>
      </c>
      <c r="C11" s="297">
        <v>9772</v>
      </c>
      <c r="D11" s="298"/>
      <c r="E11" s="64" t="s">
        <v>144</v>
      </c>
      <c r="F11" s="19" t="s">
        <v>520</v>
      </c>
      <c r="G11" s="306"/>
      <c r="I11" s="146"/>
      <c r="J11" s="300"/>
      <c r="K11" s="146"/>
      <c r="L11" s="300"/>
      <c r="M11" s="309"/>
    </row>
    <row r="12" spans="1:13" x14ac:dyDescent="0.25">
      <c r="A12" s="31" t="s">
        <v>96</v>
      </c>
      <c r="B12" s="34">
        <v>114</v>
      </c>
      <c r="C12" s="302">
        <v>5069</v>
      </c>
      <c r="D12" s="303"/>
      <c r="E12" s="64" t="s">
        <v>142</v>
      </c>
      <c r="F12" s="19" t="s">
        <v>518</v>
      </c>
      <c r="G12" s="306"/>
      <c r="I12" s="146"/>
      <c r="J12" s="300"/>
      <c r="K12" s="146"/>
      <c r="L12" s="300"/>
      <c r="M12" s="301"/>
    </row>
    <row r="13" spans="1:13" x14ac:dyDescent="0.25">
      <c r="A13" s="31" t="s">
        <v>149</v>
      </c>
      <c r="B13" s="34">
        <v>2138.17</v>
      </c>
      <c r="C13" s="302">
        <v>4716</v>
      </c>
      <c r="D13" s="303"/>
      <c r="E13" s="64" t="s">
        <v>142</v>
      </c>
      <c r="F13" s="19" t="s">
        <v>518</v>
      </c>
      <c r="G13" s="306"/>
      <c r="I13" s="146"/>
      <c r="J13" s="300"/>
      <c r="K13" s="146"/>
      <c r="L13" s="300"/>
      <c r="M13" s="301"/>
    </row>
    <row r="14" spans="1:13" x14ac:dyDescent="0.25">
      <c r="A14" s="31" t="s">
        <v>150</v>
      </c>
      <c r="B14" s="34">
        <v>1100</v>
      </c>
      <c r="C14" s="302">
        <v>5380</v>
      </c>
      <c r="D14" s="303"/>
      <c r="E14" s="64" t="s">
        <v>142</v>
      </c>
      <c r="F14" s="19" t="s">
        <v>518</v>
      </c>
      <c r="G14" s="306"/>
      <c r="I14" s="146"/>
      <c r="J14" s="300"/>
      <c r="K14" s="146"/>
      <c r="L14" s="300"/>
      <c r="M14" s="301"/>
    </row>
    <row r="15" spans="1:13" x14ac:dyDescent="0.25">
      <c r="A15" s="31" t="s">
        <v>33</v>
      </c>
      <c r="B15" s="34">
        <v>2777.21</v>
      </c>
      <c r="C15" s="302">
        <v>4708</v>
      </c>
      <c r="D15" s="310"/>
      <c r="E15" s="64" t="s">
        <v>142</v>
      </c>
      <c r="F15" s="19" t="s">
        <v>518</v>
      </c>
      <c r="G15" s="306"/>
      <c r="I15" s="146"/>
      <c r="J15" s="300"/>
      <c r="K15" s="146"/>
      <c r="L15" s="300"/>
      <c r="M15" s="301"/>
    </row>
    <row r="16" spans="1:13" x14ac:dyDescent="0.25">
      <c r="A16" s="31" t="s">
        <v>34</v>
      </c>
      <c r="B16" s="34">
        <v>22333.08</v>
      </c>
      <c r="C16" s="302">
        <v>5171</v>
      </c>
      <c r="D16" s="303"/>
      <c r="E16" s="64" t="s">
        <v>142</v>
      </c>
      <c r="F16" s="19" t="s">
        <v>521</v>
      </c>
      <c r="G16" s="299" t="s">
        <v>456</v>
      </c>
      <c r="I16" s="146"/>
      <c r="J16" s="300"/>
      <c r="K16" s="146"/>
      <c r="L16" s="300"/>
      <c r="M16" s="301"/>
    </row>
    <row r="17" spans="1:13" x14ac:dyDescent="0.25">
      <c r="A17" s="31" t="s">
        <v>151</v>
      </c>
      <c r="B17" s="34">
        <v>270629.910840592</v>
      </c>
      <c r="C17" s="302">
        <v>5551</v>
      </c>
      <c r="D17" s="303"/>
      <c r="E17" s="64" t="s">
        <v>142</v>
      </c>
      <c r="F17" s="19" t="s">
        <v>517</v>
      </c>
      <c r="G17" s="299"/>
      <c r="I17" s="146"/>
      <c r="J17" s="300"/>
      <c r="K17" s="146"/>
      <c r="L17" s="300"/>
      <c r="M17" s="301"/>
    </row>
    <row r="18" spans="1:13" x14ac:dyDescent="0.25">
      <c r="A18" s="31" t="s">
        <v>37</v>
      </c>
      <c r="B18" s="34">
        <v>16800</v>
      </c>
      <c r="C18" s="302">
        <v>9433</v>
      </c>
      <c r="D18" s="303"/>
      <c r="E18" s="64" t="s">
        <v>144</v>
      </c>
      <c r="F18" s="19" t="s">
        <v>522</v>
      </c>
      <c r="G18" s="299"/>
      <c r="I18" s="146"/>
      <c r="J18" s="300"/>
      <c r="K18" s="146"/>
      <c r="L18" s="300"/>
      <c r="M18" s="309"/>
    </row>
    <row r="19" spans="1:13" x14ac:dyDescent="0.25">
      <c r="A19" s="47" t="s">
        <v>39</v>
      </c>
      <c r="B19" s="34">
        <v>23.012</v>
      </c>
      <c r="C19" s="302">
        <v>9762</v>
      </c>
      <c r="D19" s="303"/>
      <c r="E19" s="64" t="s">
        <v>142</v>
      </c>
      <c r="F19" s="19" t="s">
        <v>520</v>
      </c>
      <c r="G19" s="299" t="s">
        <v>457</v>
      </c>
      <c r="I19" s="146"/>
      <c r="J19" s="300"/>
      <c r="K19" s="146"/>
      <c r="L19" s="300"/>
      <c r="M19" s="309"/>
    </row>
    <row r="20" spans="1:13" x14ac:dyDescent="0.25">
      <c r="A20" s="19" t="s">
        <v>248</v>
      </c>
      <c r="B20" s="34">
        <v>127000</v>
      </c>
      <c r="C20" s="302">
        <v>5552</v>
      </c>
      <c r="D20" s="303"/>
      <c r="E20" s="64" t="s">
        <v>142</v>
      </c>
      <c r="F20" s="19" t="s">
        <v>518</v>
      </c>
      <c r="G20" s="299"/>
      <c r="I20" s="146"/>
      <c r="J20" s="300"/>
      <c r="K20" s="146"/>
      <c r="L20" s="300"/>
      <c r="M20" s="301"/>
    </row>
    <row r="21" spans="1:13" x14ac:dyDescent="0.25">
      <c r="A21" s="31" t="s">
        <v>14</v>
      </c>
      <c r="B21" s="311">
        <v>4412.6819999999998</v>
      </c>
      <c r="C21" s="312">
        <v>4810</v>
      </c>
      <c r="D21" s="313"/>
      <c r="E21" s="64" t="s">
        <v>142</v>
      </c>
      <c r="F21" s="19" t="s">
        <v>518</v>
      </c>
      <c r="G21" s="30"/>
      <c r="I21" s="146"/>
      <c r="J21" s="300"/>
      <c r="K21" s="146"/>
      <c r="L21" s="300"/>
      <c r="M21" s="301"/>
    </row>
    <row r="22" spans="1:13" x14ac:dyDescent="0.25">
      <c r="A22" s="19" t="s">
        <v>269</v>
      </c>
      <c r="B22" s="307" t="s">
        <v>519</v>
      </c>
      <c r="C22" s="314">
        <v>4494</v>
      </c>
      <c r="D22" s="313"/>
      <c r="E22" s="315" t="s">
        <v>506</v>
      </c>
      <c r="F22" s="19" t="s">
        <v>523</v>
      </c>
      <c r="G22" s="299"/>
      <c r="I22" s="146"/>
      <c r="J22" s="300"/>
      <c r="K22" s="146"/>
      <c r="L22" s="300"/>
      <c r="M22" s="308"/>
    </row>
    <row r="23" spans="1:13" x14ac:dyDescent="0.25">
      <c r="A23" s="31" t="s">
        <v>109</v>
      </c>
      <c r="B23" s="34">
        <v>11.5</v>
      </c>
      <c r="C23" s="297">
        <v>4717</v>
      </c>
      <c r="D23" s="302">
        <v>9563</v>
      </c>
      <c r="E23" s="64" t="s">
        <v>524</v>
      </c>
      <c r="F23" s="19" t="s">
        <v>518</v>
      </c>
      <c r="G23" s="299" t="s">
        <v>525</v>
      </c>
      <c r="I23" s="146"/>
      <c r="J23" s="300"/>
      <c r="K23" s="146"/>
      <c r="L23" s="300"/>
      <c r="M23" s="301"/>
    </row>
    <row r="24" spans="1:13" x14ac:dyDescent="0.25">
      <c r="A24" s="31" t="s">
        <v>152</v>
      </c>
      <c r="B24" s="34">
        <v>200</v>
      </c>
      <c r="C24" s="297">
        <v>4848</v>
      </c>
      <c r="D24" s="298"/>
      <c r="E24" s="64" t="s">
        <v>142</v>
      </c>
      <c r="F24" s="19" t="s">
        <v>518</v>
      </c>
      <c r="I24" s="146"/>
      <c r="J24" s="300"/>
      <c r="K24" s="146"/>
      <c r="L24" s="300"/>
      <c r="M24" s="308"/>
    </row>
    <row r="25" spans="1:13" x14ac:dyDescent="0.25">
      <c r="A25" s="31" t="s">
        <v>133</v>
      </c>
      <c r="B25" s="34">
        <v>34.99</v>
      </c>
      <c r="C25" s="297">
        <v>5078</v>
      </c>
      <c r="D25" s="298"/>
      <c r="E25" s="64" t="s">
        <v>142</v>
      </c>
      <c r="F25" s="19" t="s">
        <v>518</v>
      </c>
      <c r="G25" s="299" t="s">
        <v>299</v>
      </c>
      <c r="I25" s="146"/>
      <c r="J25" s="300"/>
      <c r="K25" s="146"/>
      <c r="L25" s="300"/>
      <c r="M25" s="301"/>
    </row>
    <row r="26" spans="1:13" x14ac:dyDescent="0.25">
      <c r="A26" s="31" t="s">
        <v>153</v>
      </c>
      <c r="B26" s="305">
        <v>12</v>
      </c>
      <c r="C26" s="302">
        <v>5550</v>
      </c>
      <c r="D26" s="303"/>
      <c r="E26" s="64" t="s">
        <v>142</v>
      </c>
      <c r="F26" s="19" t="s">
        <v>518</v>
      </c>
      <c r="G26" s="306"/>
      <c r="I26" s="146"/>
      <c r="J26" s="300"/>
      <c r="K26" s="146"/>
      <c r="L26" s="300"/>
      <c r="M26" s="301"/>
    </row>
    <row r="27" spans="1:13" x14ac:dyDescent="0.25">
      <c r="A27" s="31" t="s">
        <v>154</v>
      </c>
      <c r="B27" s="34">
        <v>50200</v>
      </c>
      <c r="C27" s="302">
        <v>5397</v>
      </c>
      <c r="D27" s="302">
        <v>9847</v>
      </c>
      <c r="E27" s="64" t="s">
        <v>513</v>
      </c>
      <c r="F27" s="19" t="s">
        <v>526</v>
      </c>
      <c r="G27" s="306"/>
      <c r="I27" s="146"/>
      <c r="J27" s="300"/>
      <c r="K27" s="146"/>
      <c r="L27" s="300"/>
      <c r="M27" s="301"/>
    </row>
    <row r="28" spans="1:13" x14ac:dyDescent="0.25">
      <c r="A28" s="316" t="s">
        <v>155</v>
      </c>
      <c r="B28" s="317">
        <v>1000</v>
      </c>
      <c r="C28" s="318">
        <v>4659</v>
      </c>
      <c r="D28" s="319"/>
      <c r="E28" s="320" t="s">
        <v>506</v>
      </c>
      <c r="F28" s="321" t="s">
        <v>527</v>
      </c>
      <c r="G28" s="322"/>
      <c r="I28" s="146"/>
      <c r="J28" s="300"/>
      <c r="K28" s="146"/>
      <c r="L28" s="300"/>
      <c r="M28" s="301"/>
    </row>
    <row r="29" spans="1:13" ht="15.75" thickBot="1" x14ac:dyDescent="0.3">
      <c r="A29" s="306"/>
      <c r="B29" s="323"/>
      <c r="C29" s="324"/>
      <c r="D29" s="325"/>
      <c r="E29" s="306"/>
      <c r="F29" s="306"/>
      <c r="I29" s="146"/>
      <c r="J29" s="300"/>
      <c r="K29" s="146"/>
      <c r="L29" s="300"/>
      <c r="M29" s="309"/>
    </row>
    <row r="30" spans="1:13" ht="15.75" thickBot="1" x14ac:dyDescent="0.3">
      <c r="A30" s="32" t="s">
        <v>21</v>
      </c>
      <c r="B30" s="33">
        <v>510461.89484059199</v>
      </c>
      <c r="C30" s="324"/>
      <c r="D30" s="325"/>
      <c r="E30" s="306"/>
      <c r="F30" s="306"/>
      <c r="I30" s="146"/>
      <c r="J30" s="300"/>
      <c r="K30" s="146"/>
      <c r="L30" s="300"/>
      <c r="M30" s="301"/>
    </row>
  </sheetData>
  <hyperlinks>
    <hyperlink ref="C2" r:id="rId1" display="https://www.thegef.org/project/governance-strengthening-management-and-protection-coastal-marine-biodiversity-key"/>
    <hyperlink ref="C3" r:id="rId2" display="https://www.thegef.org/project/increasing-representation-effectively-managed-marine-ecosystems-protected-area-system"/>
    <hyperlink ref="C4" r:id="rId3" display="https://www.thegef.org/project/chinas-protected-area-system-reform-c-par"/>
    <hyperlink ref="C7" r:id="rId4" display="https://www.thegef.org/project/creation-loungo-bay-marine-protected-area-support-turtles-conservation-congo"/>
    <hyperlink ref="C8" r:id="rId5" display="https://www.thegef.org/project/mitigating-key-sector-pressures-marine-and-coastal-biodiversity-and-further-strengthening"/>
    <hyperlink ref="C9" r:id="rId6" display="https://www.thegef.org/project/integrated-management-marine-and-coastal-areas-high-value-biodiversity-continental-ecuador"/>
    <hyperlink ref="C10" r:id="rId7" display="https://www.thegef.org/project/implementing-ridge-reef-approach-preserve-ecosystem-services-sequester-carbon-improve"/>
    <hyperlink ref="C12" r:id="rId8" display="https://www.thegef.org/project/implementing-ridge-reef-approach-protecting-biodiversity-and-ecosystem-functions-within-and"/>
    <hyperlink ref="C13" r:id="rId9" display="https://www.thegef.org/project/conservation-and-sustainable-use-biodiversity-coastal-and-marine-protected-areas-mpas"/>
    <hyperlink ref="C14" r:id="rId10" display="https://www.thegef.org/project/increasing-resilience-ecosystems-and-vulnerable-communities-cc-and-anthropic-threats-through"/>
    <hyperlink ref="C15" r:id="rId11" display="https://www.thegef.org/project/strengthening-sub-system-coastal-and-marine-protected-areas"/>
    <hyperlink ref="C16" r:id="rId12" display="https://www.thegef.org/project/cti-coral-reef-rehabilitation-and-management-program-coral-triangle-initiative-phase-iii"/>
    <hyperlink ref="C17" r:id="rId13" display="https://www.thegef.org/project/resilient-islands-resilient-communities"/>
    <hyperlink ref="C20" r:id="rId14" display="https://www.thegef.org/project/application-ridge-reef-concept-biodiversity-conservation-and-enhancement-ecosystem-service"/>
    <hyperlink ref="C23" r:id="rId15" display="https://www.thegef.org/project/expansion-and-strengthening-protected-area-subsystem-outer-islands-seychelles-and-its"/>
    <hyperlink ref="C24" r:id="rId16" display="https://www.thegef.org/project/improving-management-effectiveness-protected-area-network"/>
    <hyperlink ref="C25" r:id="rId17" display="https://www.thegef.org/project/conserving-biodiversity-and-reducing-habitat-degradation-protected-areas-and-their-buffer"/>
    <hyperlink ref="C26" r:id="rId18" display="https://www.thegef.org/project/r2r-implementing-ridge-reef-approach-protect-biodiversity-and-ecosystem-functions"/>
    <hyperlink ref="C27" r:id="rId19" display="https://www.thegef.org/project/r2r-integrated-sustainable-land-and-coastal-management"/>
    <hyperlink ref="C28" r:id="rId20" display="https://www.thegef.org/project/lme-ea-coastal-resources-sustainable-development-mainstreaming-application-marine-spatial"/>
    <hyperlink ref="C21" r:id="rId21" display="https://www.thegef.org/project/strengthening-marine-protected-area-system-conserve-marine-key-biodiversity-areas"/>
    <hyperlink ref="C11" r:id="rId22" display="https://www.thegef.org/project/landscape-planning-and-restoration-improve-ecosystem-services-and-livelihoods-expand-and"/>
    <hyperlink ref="C19" r:id="rId23" display="https://www.thegef.org/project/promoting-protected-areas-management-through-integrated-marine-and-coastal-ecosystems"/>
    <hyperlink ref="D27" r:id="rId24" display="https://www.thegef.org/project/expanding-conservation-areas-reach-and-effectivenessecare-vanuatu"/>
    <hyperlink ref="C18" r:id="rId25" display="https://www.thegef.org/project/s3mr-sustainable-management-madagascars-marine-resources"/>
    <hyperlink ref="C22" r:id="rId26" display="https://www.thegef.org/project/integrated-ecosystem-approach-biodiversity-mainstreaming-and-conservation-buffer-zones-obo"/>
  </hyperlinks>
  <pageMargins left="0.7" right="0.7" top="0.75" bottom="0.75" header="0.3" footer="0.3"/>
  <pageSetup paperSize="5" orientation="landscape" r:id="rId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workbookViewId="0">
      <selection activeCell="H36" sqref="H36:I36"/>
    </sheetView>
  </sheetViews>
  <sheetFormatPr defaultRowHeight="15" x14ac:dyDescent="0.25"/>
  <cols>
    <col min="1" max="1" width="15.7109375" style="1" customWidth="1"/>
    <col min="2" max="2" width="92" style="1" customWidth="1"/>
    <col min="3" max="3" width="13.28515625" style="19" customWidth="1"/>
    <col min="4" max="16384" width="9.140625" style="19"/>
  </cols>
  <sheetData>
    <row r="1" spans="1:3" ht="43.5" customHeight="1" thickBot="1" x14ac:dyDescent="0.3">
      <c r="A1" s="2" t="s">
        <v>1</v>
      </c>
      <c r="B1" s="2" t="s">
        <v>338</v>
      </c>
      <c r="C1" s="68" t="s">
        <v>326</v>
      </c>
    </row>
    <row r="2" spans="1:3" ht="26.25" x14ac:dyDescent="0.25">
      <c r="A2" s="3" t="s">
        <v>3</v>
      </c>
      <c r="B2" s="3" t="s">
        <v>473</v>
      </c>
      <c r="C2" s="84">
        <f>8500-3968</f>
        <v>4532</v>
      </c>
    </row>
    <row r="3" spans="1:3" ht="26.25" x14ac:dyDescent="0.25">
      <c r="A3" s="3" t="s">
        <v>4</v>
      </c>
      <c r="B3" s="3" t="s">
        <v>472</v>
      </c>
      <c r="C3" s="84">
        <v>5160.53</v>
      </c>
    </row>
    <row r="4" spans="1:3" ht="26.25" x14ac:dyDescent="0.25">
      <c r="A4" s="3" t="s">
        <v>5</v>
      </c>
      <c r="B4" s="3" t="s">
        <v>365</v>
      </c>
      <c r="C4" s="84">
        <f>'New Allcountry'!H40</f>
        <v>34718.606622000007</v>
      </c>
    </row>
    <row r="5" spans="1:3" x14ac:dyDescent="0.25">
      <c r="A5" s="3" t="s">
        <v>6</v>
      </c>
      <c r="B5" s="3" t="s">
        <v>364</v>
      </c>
      <c r="C5" s="84">
        <f>'New Allcountry'!H43</f>
        <v>8065.5427999999993</v>
      </c>
    </row>
    <row r="6" spans="1:3" ht="26.25" x14ac:dyDescent="0.25">
      <c r="A6" s="3" t="s">
        <v>7</v>
      </c>
      <c r="B6" s="3" t="s">
        <v>366</v>
      </c>
      <c r="C6" s="84">
        <f>'New Allcountry'!H46</f>
        <v>10972.671</v>
      </c>
    </row>
    <row r="7" spans="1:3" x14ac:dyDescent="0.25">
      <c r="A7" s="3" t="s">
        <v>202</v>
      </c>
      <c r="B7" s="3" t="s">
        <v>367</v>
      </c>
      <c r="C7" s="84">
        <f>'New Allcountry'!H58</f>
        <v>14788.555038000002</v>
      </c>
    </row>
    <row r="8" spans="1:3" ht="26.25" x14ac:dyDescent="0.25">
      <c r="A8" s="3" t="s">
        <v>8</v>
      </c>
      <c r="B8" s="3" t="s">
        <v>368</v>
      </c>
      <c r="C8" s="84">
        <v>3605.94</v>
      </c>
    </row>
    <row r="9" spans="1:3" ht="44.25" customHeight="1" x14ac:dyDescent="0.25">
      <c r="A9" s="3" t="s">
        <v>149</v>
      </c>
      <c r="B9" s="3" t="s">
        <v>369</v>
      </c>
      <c r="C9" s="84">
        <f>1642.974-70.4244</f>
        <v>1572.5495999999998</v>
      </c>
    </row>
    <row r="10" spans="1:3" ht="15" customHeight="1" x14ac:dyDescent="0.25">
      <c r="A10" s="108" t="s">
        <v>9</v>
      </c>
      <c r="B10" s="108" t="s">
        <v>471</v>
      </c>
      <c r="C10" s="85">
        <v>5000</v>
      </c>
    </row>
    <row r="11" spans="1:3" x14ac:dyDescent="0.25">
      <c r="A11" s="3" t="s">
        <v>10</v>
      </c>
      <c r="B11" s="3" t="s">
        <v>378</v>
      </c>
      <c r="C11" s="84">
        <v>272.67</v>
      </c>
    </row>
    <row r="12" spans="1:3" ht="26.25" x14ac:dyDescent="0.25">
      <c r="A12" s="3" t="s">
        <v>11</v>
      </c>
      <c r="B12" s="3" t="s">
        <v>370</v>
      </c>
      <c r="C12" s="84">
        <f>'New Allcountry'!H105</f>
        <v>1890.740456</v>
      </c>
    </row>
    <row r="13" spans="1:3" x14ac:dyDescent="0.25">
      <c r="A13" s="3" t="s">
        <v>12</v>
      </c>
      <c r="B13" s="3" t="s">
        <v>371</v>
      </c>
      <c r="C13" s="84">
        <f>'New Allcountry'!H106</f>
        <v>12132.335376000003</v>
      </c>
    </row>
    <row r="14" spans="1:3" x14ac:dyDescent="0.25">
      <c r="A14" s="5" t="s">
        <v>13</v>
      </c>
      <c r="B14" s="5" t="s">
        <v>372</v>
      </c>
      <c r="C14" s="84">
        <v>9000</v>
      </c>
    </row>
    <row r="15" spans="1:3" x14ac:dyDescent="0.25">
      <c r="A15" s="3" t="s">
        <v>15</v>
      </c>
      <c r="B15" s="3" t="s">
        <v>470</v>
      </c>
      <c r="C15" s="84">
        <v>11614.33</v>
      </c>
    </row>
    <row r="16" spans="1:3" x14ac:dyDescent="0.25">
      <c r="A16" s="3" t="s">
        <v>16</v>
      </c>
      <c r="B16" s="3" t="s">
        <v>375</v>
      </c>
      <c r="C16" s="85">
        <f>'New Allcountry'!H155</f>
        <v>1008.853079</v>
      </c>
    </row>
    <row r="17" spans="1:6" x14ac:dyDescent="0.25">
      <c r="A17" s="67" t="s">
        <v>17</v>
      </c>
      <c r="B17" s="3" t="s">
        <v>376</v>
      </c>
      <c r="C17" s="84">
        <f>'New Allcountry'!H156</f>
        <v>1522.022964</v>
      </c>
    </row>
    <row r="18" spans="1:6" ht="39" x14ac:dyDescent="0.25">
      <c r="A18" s="3" t="s">
        <v>18</v>
      </c>
      <c r="B18" s="3" t="s">
        <v>467</v>
      </c>
      <c r="C18" s="84">
        <v>1316.08</v>
      </c>
    </row>
    <row r="19" spans="1:6" x14ac:dyDescent="0.25">
      <c r="A19" s="3" t="s">
        <v>61</v>
      </c>
      <c r="B19" s="3" t="s">
        <v>346</v>
      </c>
      <c r="C19" s="69">
        <v>2000</v>
      </c>
    </row>
    <row r="20" spans="1:6" ht="26.25" x14ac:dyDescent="0.25">
      <c r="A20" s="3" t="s">
        <v>19</v>
      </c>
      <c r="B20" s="3" t="s">
        <v>469</v>
      </c>
      <c r="C20" s="84">
        <f>'New Allcountry'!H193</f>
        <v>1492.5400000000009</v>
      </c>
      <c r="D20" s="146"/>
    </row>
    <row r="21" spans="1:6" ht="27" thickBot="1" x14ac:dyDescent="0.3">
      <c r="A21" s="3" t="s">
        <v>20</v>
      </c>
      <c r="B21" s="3" t="s">
        <v>377</v>
      </c>
      <c r="C21" s="84">
        <f>'New Allcountry'!H199</f>
        <v>1670.4065909999999</v>
      </c>
    </row>
    <row r="22" spans="1:6" ht="15.75" thickBot="1" x14ac:dyDescent="0.3">
      <c r="B22" s="6" t="s">
        <v>21</v>
      </c>
      <c r="C22" s="7">
        <f>SUM(C2:C21)</f>
        <v>132336.37352600001</v>
      </c>
    </row>
    <row r="23" spans="1:6" x14ac:dyDescent="0.25">
      <c r="B23" s="6"/>
      <c r="C23" s="10"/>
    </row>
    <row r="24" spans="1:6" x14ac:dyDescent="0.25">
      <c r="B24" s="6"/>
      <c r="C24" s="10"/>
    </row>
    <row r="25" spans="1:6" ht="15" customHeight="1" x14ac:dyDescent="0.25">
      <c r="A25" s="199"/>
      <c r="B25" s="200"/>
      <c r="C25" s="113"/>
    </row>
    <row r="26" spans="1:6" ht="15.75" thickBot="1" x14ac:dyDescent="0.3">
      <c r="A26" s="201" t="s">
        <v>1</v>
      </c>
      <c r="B26" s="202" t="s">
        <v>298</v>
      </c>
    </row>
    <row r="27" spans="1:6" x14ac:dyDescent="0.25">
      <c r="A27" s="3" t="s">
        <v>22</v>
      </c>
      <c r="B27" s="3" t="s">
        <v>23</v>
      </c>
    </row>
    <row r="28" spans="1:6" ht="26.25" customHeight="1" x14ac:dyDescent="0.25">
      <c r="A28" s="3" t="s">
        <v>24</v>
      </c>
      <c r="B28" s="3" t="s">
        <v>62</v>
      </c>
    </row>
    <row r="29" spans="1:6" x14ac:dyDescent="0.25">
      <c r="A29" s="3" t="s">
        <v>25</v>
      </c>
      <c r="B29" s="3" t="s">
        <v>339</v>
      </c>
    </row>
    <row r="30" spans="1:6" ht="39" customHeight="1" x14ac:dyDescent="0.25">
      <c r="A30" s="3" t="s">
        <v>26</v>
      </c>
      <c r="B30" s="3" t="s">
        <v>340</v>
      </c>
      <c r="C30" s="197" t="s">
        <v>505</v>
      </c>
      <c r="D30" s="146"/>
      <c r="E30" s="146"/>
      <c r="F30" s="146"/>
    </row>
    <row r="31" spans="1:6" ht="26.25" x14ac:dyDescent="0.25">
      <c r="A31" s="3" t="s">
        <v>27</v>
      </c>
      <c r="B31" s="3" t="s">
        <v>28</v>
      </c>
      <c r="C31" s="197" t="s">
        <v>505</v>
      </c>
      <c r="D31" s="146"/>
      <c r="E31" s="146"/>
      <c r="F31" s="146"/>
    </row>
    <row r="32" spans="1:6" ht="39" x14ac:dyDescent="0.25">
      <c r="A32" s="5" t="s">
        <v>29</v>
      </c>
      <c r="B32" s="3" t="s">
        <v>341</v>
      </c>
      <c r="C32" s="146"/>
      <c r="D32" s="146"/>
      <c r="E32" s="146"/>
      <c r="F32" s="146"/>
    </row>
    <row r="33" spans="1:6" x14ac:dyDescent="0.25">
      <c r="A33" s="3" t="s">
        <v>31</v>
      </c>
      <c r="B33" s="3" t="s">
        <v>32</v>
      </c>
      <c r="C33" s="146"/>
      <c r="D33" s="146"/>
      <c r="E33" s="146"/>
      <c r="F33" s="146"/>
    </row>
    <row r="34" spans="1:6" x14ac:dyDescent="0.25">
      <c r="A34" s="3" t="s">
        <v>33</v>
      </c>
      <c r="B34" s="3" t="s">
        <v>325</v>
      </c>
      <c r="C34" s="146"/>
      <c r="D34" s="146"/>
      <c r="E34" s="146"/>
      <c r="F34" s="146"/>
    </row>
    <row r="35" spans="1:6" x14ac:dyDescent="0.25">
      <c r="A35" s="3" t="s">
        <v>34</v>
      </c>
      <c r="B35" s="3" t="s">
        <v>63</v>
      </c>
      <c r="C35" s="197" t="s">
        <v>505</v>
      </c>
      <c r="D35" s="146"/>
      <c r="E35" s="146"/>
      <c r="F35" s="146"/>
    </row>
    <row r="36" spans="1:6" x14ac:dyDescent="0.25">
      <c r="A36" s="3" t="s">
        <v>35</v>
      </c>
      <c r="B36" s="3" t="s">
        <v>36</v>
      </c>
      <c r="C36" s="146"/>
      <c r="D36" s="146"/>
      <c r="E36" s="146"/>
      <c r="F36" s="146"/>
    </row>
    <row r="37" spans="1:6" x14ac:dyDescent="0.25">
      <c r="A37" s="3" t="s">
        <v>37</v>
      </c>
      <c r="B37" s="3" t="s">
        <v>38</v>
      </c>
      <c r="C37" s="148"/>
      <c r="D37" s="146"/>
      <c r="E37" s="146"/>
      <c r="F37" s="146"/>
    </row>
    <row r="38" spans="1:6" x14ac:dyDescent="0.25">
      <c r="A38" s="3" t="s">
        <v>39</v>
      </c>
      <c r="B38" s="3" t="s">
        <v>40</v>
      </c>
      <c r="C38" s="146"/>
      <c r="D38" s="146"/>
      <c r="E38" s="146"/>
      <c r="F38" s="146"/>
    </row>
    <row r="39" spans="1:6" x14ac:dyDescent="0.25">
      <c r="A39" s="3" t="s">
        <v>41</v>
      </c>
      <c r="B39" s="3" t="s">
        <v>342</v>
      </c>
      <c r="C39" s="197"/>
      <c r="D39" s="146"/>
      <c r="E39" s="146"/>
      <c r="F39" s="146"/>
    </row>
    <row r="40" spans="1:6" x14ac:dyDescent="0.25">
      <c r="A40" s="5" t="s">
        <v>42</v>
      </c>
      <c r="B40" s="3" t="s">
        <v>345</v>
      </c>
      <c r="C40" s="146"/>
      <c r="D40" s="146"/>
      <c r="E40" s="146"/>
      <c r="F40" s="146"/>
    </row>
    <row r="41" spans="1:6" x14ac:dyDescent="0.25">
      <c r="A41" s="110" t="s">
        <v>43</v>
      </c>
      <c r="B41" s="108" t="s">
        <v>44</v>
      </c>
      <c r="C41" s="146"/>
      <c r="D41" s="146"/>
      <c r="E41" s="146"/>
      <c r="F41" s="146"/>
    </row>
    <row r="42" spans="1:6" x14ac:dyDescent="0.25">
      <c r="A42" s="3" t="s">
        <v>45</v>
      </c>
      <c r="B42" s="3" t="s">
        <v>46</v>
      </c>
      <c r="C42" s="146"/>
      <c r="D42" s="146"/>
      <c r="E42" s="146"/>
      <c r="F42" s="146"/>
    </row>
    <row r="43" spans="1:6" x14ac:dyDescent="0.25">
      <c r="A43" s="3" t="s">
        <v>47</v>
      </c>
      <c r="B43" s="3" t="s">
        <v>48</v>
      </c>
      <c r="C43" s="197" t="s">
        <v>505</v>
      </c>
      <c r="D43" s="146"/>
      <c r="E43" s="146"/>
      <c r="F43" s="146"/>
    </row>
    <row r="44" spans="1:6" x14ac:dyDescent="0.25">
      <c r="A44" s="3" t="s">
        <v>49</v>
      </c>
      <c r="B44" s="3" t="s">
        <v>50</v>
      </c>
      <c r="C44" s="146"/>
      <c r="D44" s="146"/>
      <c r="E44" s="146"/>
      <c r="F44" s="146"/>
    </row>
    <row r="45" spans="1:6" ht="26.25" x14ac:dyDescent="0.25">
      <c r="A45" s="5" t="s">
        <v>51</v>
      </c>
      <c r="B45" s="3" t="s">
        <v>52</v>
      </c>
      <c r="C45" s="146"/>
      <c r="D45" s="146"/>
      <c r="E45" s="146"/>
      <c r="F45" s="146"/>
    </row>
    <row r="46" spans="1:6" ht="24.75" x14ac:dyDescent="0.25">
      <c r="A46" s="3" t="s">
        <v>53</v>
      </c>
      <c r="B46" s="198" t="s">
        <v>343</v>
      </c>
      <c r="C46" s="146"/>
      <c r="D46" s="146"/>
      <c r="E46" s="146"/>
      <c r="F46" s="146"/>
    </row>
    <row r="47" spans="1:6" x14ac:dyDescent="0.25">
      <c r="A47" s="3" t="s">
        <v>54</v>
      </c>
      <c r="B47" s="3" t="s">
        <v>55</v>
      </c>
      <c r="C47" s="146"/>
      <c r="D47" s="146"/>
      <c r="E47" s="146"/>
      <c r="F47" s="146"/>
    </row>
    <row r="48" spans="1:6" x14ac:dyDescent="0.25">
      <c r="A48" s="5" t="s">
        <v>56</v>
      </c>
      <c r="B48" s="3" t="s">
        <v>57</v>
      </c>
      <c r="C48" s="146"/>
      <c r="D48" s="146"/>
      <c r="E48" s="146"/>
      <c r="F48" s="146"/>
    </row>
    <row r="49" spans="1:6" ht="26.25" x14ac:dyDescent="0.25">
      <c r="A49" s="3" t="s">
        <v>58</v>
      </c>
      <c r="B49" s="3" t="s">
        <v>59</v>
      </c>
      <c r="C49" s="146"/>
      <c r="D49" s="146"/>
      <c r="E49" s="146"/>
      <c r="F49" s="146"/>
    </row>
  </sheetData>
  <pageMargins left="0.7" right="0.7" top="0.75" bottom="0.75" header="0.3" footer="0.3"/>
  <pageSetup paperSize="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D8" sqref="D8"/>
    </sheetView>
  </sheetViews>
  <sheetFormatPr defaultRowHeight="15" x14ac:dyDescent="0.25"/>
  <cols>
    <col min="1" max="1" width="15.28515625" style="37" customWidth="1"/>
    <col min="2" max="2" width="13.42578125" style="1" customWidth="1"/>
    <col min="3" max="3" width="67.42578125" style="1" customWidth="1"/>
    <col min="4" max="4" width="17.28515625" style="1" customWidth="1"/>
    <col min="5" max="5" width="54.7109375" style="1" customWidth="1"/>
    <col min="6" max="16384" width="9.140625" style="1"/>
  </cols>
  <sheetData>
    <row r="1" spans="1:6" ht="33" thickBot="1" x14ac:dyDescent="0.3">
      <c r="A1" s="70" t="s">
        <v>1</v>
      </c>
      <c r="B1" s="35" t="s">
        <v>326</v>
      </c>
      <c r="C1" s="20" t="s">
        <v>332</v>
      </c>
      <c r="D1" s="20" t="s">
        <v>327</v>
      </c>
      <c r="E1" s="36" t="s">
        <v>141</v>
      </c>
    </row>
    <row r="2" spans="1:6" ht="26.25" x14ac:dyDescent="0.25">
      <c r="A2" s="37" t="s">
        <v>86</v>
      </c>
      <c r="B2" s="59">
        <v>26600</v>
      </c>
      <c r="C2" s="37" t="s">
        <v>383</v>
      </c>
      <c r="D2" s="56" t="s">
        <v>306</v>
      </c>
    </row>
    <row r="3" spans="1:6" ht="26.25" x14ac:dyDescent="0.25">
      <c r="A3" s="37" t="s">
        <v>158</v>
      </c>
      <c r="B3" s="59">
        <v>150000</v>
      </c>
      <c r="C3" s="37" t="s">
        <v>384</v>
      </c>
      <c r="D3" s="38" t="s">
        <v>165</v>
      </c>
      <c r="E3" s="79"/>
    </row>
    <row r="4" spans="1:6" ht="39" x14ac:dyDescent="0.25">
      <c r="A4" s="80" t="s">
        <v>126</v>
      </c>
      <c r="B4" s="59">
        <v>183250.4184</v>
      </c>
      <c r="C4" s="37" t="s">
        <v>316</v>
      </c>
      <c r="D4" s="55" t="s">
        <v>317</v>
      </c>
      <c r="E4" s="71" t="s">
        <v>458</v>
      </c>
    </row>
    <row r="5" spans="1:6" x14ac:dyDescent="0.25">
      <c r="A5" s="80" t="s">
        <v>168</v>
      </c>
      <c r="B5" s="57">
        <v>4795261.0999999996</v>
      </c>
      <c r="C5" s="37" t="s">
        <v>329</v>
      </c>
      <c r="D5" s="55" t="s">
        <v>318</v>
      </c>
      <c r="E5" s="45" t="s">
        <v>330</v>
      </c>
    </row>
    <row r="6" spans="1:6" ht="26.25" x14ac:dyDescent="0.25">
      <c r="A6" s="62" t="s">
        <v>160</v>
      </c>
      <c r="B6" s="53">
        <v>1800000</v>
      </c>
      <c r="C6" s="62" t="s">
        <v>385</v>
      </c>
      <c r="D6" s="65" t="s">
        <v>166</v>
      </c>
      <c r="E6" s="62" t="s">
        <v>382</v>
      </c>
    </row>
    <row r="7" spans="1:6" ht="39" x14ac:dyDescent="0.25">
      <c r="A7" s="37" t="s">
        <v>213</v>
      </c>
      <c r="B7" s="59">
        <f>'New Allcountry'!J75</f>
        <v>76508.474369999996</v>
      </c>
      <c r="C7" s="37" t="s">
        <v>386</v>
      </c>
      <c r="D7" s="55" t="s">
        <v>304</v>
      </c>
    </row>
    <row r="8" spans="1:6" ht="28.5" x14ac:dyDescent="0.25">
      <c r="A8" s="37" t="s">
        <v>96</v>
      </c>
      <c r="B8" s="149">
        <v>1141.5366818366974</v>
      </c>
      <c r="C8" s="37" t="s">
        <v>387</v>
      </c>
      <c r="D8" s="38" t="s">
        <v>162</v>
      </c>
      <c r="E8" s="150" t="s">
        <v>397</v>
      </c>
    </row>
    <row r="9" spans="1:6" ht="26.25" x14ac:dyDescent="0.25">
      <c r="A9" s="37" t="s">
        <v>34</v>
      </c>
      <c r="B9" s="59">
        <f>43000-22333-10397.38</f>
        <v>10269.620000000001</v>
      </c>
      <c r="C9" s="37" t="s">
        <v>388</v>
      </c>
      <c r="D9" s="55" t="s">
        <v>313</v>
      </c>
      <c r="E9" s="204" t="s">
        <v>396</v>
      </c>
      <c r="F9" s="116"/>
    </row>
    <row r="10" spans="1:6" ht="39" x14ac:dyDescent="0.25">
      <c r="A10" s="37" t="s">
        <v>99</v>
      </c>
      <c r="B10" s="59">
        <v>8040</v>
      </c>
      <c r="C10" s="37" t="s">
        <v>389</v>
      </c>
      <c r="D10" s="55" t="s">
        <v>309</v>
      </c>
    </row>
    <row r="11" spans="1:6" x14ac:dyDescent="0.25">
      <c r="A11" s="37" t="s">
        <v>157</v>
      </c>
      <c r="B11" s="60">
        <v>305.5</v>
      </c>
      <c r="C11" s="37" t="s">
        <v>390</v>
      </c>
      <c r="D11" s="38" t="s">
        <v>163</v>
      </c>
      <c r="E11" s="37" t="s">
        <v>300</v>
      </c>
    </row>
    <row r="12" spans="1:6" ht="26.25" x14ac:dyDescent="0.25">
      <c r="A12" s="37" t="s">
        <v>241</v>
      </c>
      <c r="B12" s="59">
        <f>'New Allcountry'!J122</f>
        <v>762.82972600000005</v>
      </c>
      <c r="C12" s="37" t="s">
        <v>391</v>
      </c>
      <c r="D12" s="55" t="s">
        <v>301</v>
      </c>
      <c r="E12" s="54" t="s">
        <v>302</v>
      </c>
    </row>
    <row r="13" spans="1:6" ht="26.25" x14ac:dyDescent="0.25">
      <c r="A13" s="66" t="s">
        <v>109</v>
      </c>
      <c r="B13" s="57">
        <f>'New Allcountry'!J164</f>
        <v>401756.26976599998</v>
      </c>
      <c r="C13" s="37" t="s">
        <v>392</v>
      </c>
      <c r="D13" s="55" t="s">
        <v>314</v>
      </c>
      <c r="E13" s="54" t="s">
        <v>315</v>
      </c>
    </row>
    <row r="14" spans="1:6" ht="26.25" x14ac:dyDescent="0.25">
      <c r="A14" s="37" t="s">
        <v>53</v>
      </c>
      <c r="B14" s="59">
        <v>1000</v>
      </c>
      <c r="C14" s="37" t="s">
        <v>393</v>
      </c>
      <c r="D14" s="56" t="s">
        <v>305</v>
      </c>
    </row>
    <row r="15" spans="1:6" x14ac:dyDescent="0.25">
      <c r="A15" s="37" t="s">
        <v>280</v>
      </c>
      <c r="B15" s="59">
        <v>7000</v>
      </c>
      <c r="C15" s="37" t="s">
        <v>394</v>
      </c>
      <c r="D15" s="56" t="s">
        <v>303</v>
      </c>
    </row>
    <row r="16" spans="1:6" ht="39" x14ac:dyDescent="0.25">
      <c r="A16" s="37" t="s">
        <v>328</v>
      </c>
      <c r="B16" s="59">
        <v>6450</v>
      </c>
      <c r="C16" s="37" t="s">
        <v>395</v>
      </c>
      <c r="D16" s="38" t="s">
        <v>164</v>
      </c>
      <c r="E16" s="37" t="s">
        <v>300</v>
      </c>
    </row>
    <row r="17" spans="1:5" x14ac:dyDescent="0.25">
      <c r="A17" s="209" t="s">
        <v>56</v>
      </c>
      <c r="B17" s="210">
        <f>'New Allcountry'!J185</f>
        <v>56750.300120000007</v>
      </c>
      <c r="C17" s="209" t="s">
        <v>310</v>
      </c>
      <c r="D17" s="211" t="s">
        <v>311</v>
      </c>
      <c r="E17" s="212" t="s">
        <v>474</v>
      </c>
    </row>
    <row r="18" spans="1:5" ht="27" thickBot="1" x14ac:dyDescent="0.3">
      <c r="A18" s="207" t="s">
        <v>153</v>
      </c>
      <c r="B18" s="208">
        <f>'New Allcountry'!J191</f>
        <v>73115.912251999995</v>
      </c>
      <c r="C18" s="205" t="s">
        <v>312</v>
      </c>
      <c r="D18" s="206" t="s">
        <v>319</v>
      </c>
      <c r="E18" s="205"/>
    </row>
    <row r="19" spans="1:5" ht="30" x14ac:dyDescent="0.25">
      <c r="A19" s="74" t="s">
        <v>161</v>
      </c>
      <c r="B19" s="75">
        <f>SUM(B2:B18)-B20</f>
        <v>5798211.9613158358</v>
      </c>
      <c r="D19" s="37"/>
    </row>
    <row r="20" spans="1:5" x14ac:dyDescent="0.25">
      <c r="A20" s="76" t="s">
        <v>331</v>
      </c>
      <c r="B20" s="77">
        <f>B6</f>
        <v>1800000</v>
      </c>
      <c r="D20" s="37"/>
    </row>
    <row r="21" spans="1:5" ht="15.75" thickBot="1" x14ac:dyDescent="0.3">
      <c r="A21" s="72" t="s">
        <v>169</v>
      </c>
      <c r="B21" s="73">
        <f>B19+B20</f>
        <v>7598211.9613158358</v>
      </c>
    </row>
  </sheetData>
  <sortState ref="A2:E23">
    <sortCondition ref="A2:A23"/>
  </sortState>
  <hyperlinks>
    <hyperlink ref="D8" r:id="rId1"/>
    <hyperlink ref="D11" r:id="rId2"/>
    <hyperlink ref="D16" r:id="rId3"/>
    <hyperlink ref="D3" r:id="rId4"/>
    <hyperlink ref="D12" r:id="rId5" location="sthash.nJBSoG15.dpuf" display="https://oceanconference.un.org/commitments/?id=18142#sthash.nJBSoG15.dpuf"/>
    <hyperlink ref="D15" r:id="rId6" location="sthash.qgrY7naB.dpuf" display="https://oceanconference.un.org/commitments/?id=18211#sthash.qgrY7naB.dpuf"/>
    <hyperlink ref="D7" r:id="rId7" location="sthash.RhijshQD.dpuf" display="https://oceanconference.un.org/commitments/?id=18379#sthash.RhijshQD.dpuf"/>
    <hyperlink ref="D14" r:id="rId8" location="sthash.sLdGxzma.dpuf" display="https://oceanconference.un.org/commitments/?id=19899#sthash.sLdGxzma.dpuf"/>
    <hyperlink ref="D2" r:id="rId9" location="sthash.SORDmJ3I.dpuf" display="https://oceanconference.un.org/commitments/?id=20772#sthash.SORDmJ3I.dpuf"/>
    <hyperlink ref="D10" r:id="rId10" location="sthash.VZRytnW9.dpuf" display="https://oceanconference.un.org/commitments/?id=21136#sthash.VZRytnW9.dpuf"/>
    <hyperlink ref="D9" r:id="rId11" location="sthash.v4doOh1Z.dpuf" display="https://oceanconference.un.org/commitments/?id=18259#sthash.v4doOh1Z.dpuf"/>
    <hyperlink ref="D13" r:id="rId12"/>
    <hyperlink ref="D4" r:id="rId13" location="sthash.7vnEI1pc.dpuf" display="https://oceanconference.un.org/commitments/?id=16676#sthash.7vnEI1pc.dpuf"/>
    <hyperlink ref="D5" r:id="rId14" location="sthash.aAXIOmaP.dpuf" display="https://oceanconference.un.org/commitments/?id=20294#sthash.aAXIOmaP.dpuf"/>
    <hyperlink ref="D17" r:id="rId15" location="sthash.zqyt3oWi.dpuf" display="https://oceanconference.un.org/commitments/?id=21256#sthash.zqyt3oWi.dpuf"/>
    <hyperlink ref="D18" r:id="rId16" location="sthash.qxK4N8Zu.dpuf" display="https://oceanconference.un.org/commitments/?id=21472#sthash.qxK4N8Zu.dpuf"/>
    <hyperlink ref="D6" r:id="rId17"/>
  </hyperlinks>
  <pageMargins left="0.7" right="0.7" top="0.75" bottom="0.75" header="0.3" footer="0.3"/>
  <pageSetup paperSize="5" scale="94" orientation="landscape"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16"/>
  <sheetViews>
    <sheetView topLeftCell="A37" zoomScaleNormal="100" workbookViewId="0">
      <selection activeCell="M63" sqref="M63"/>
    </sheetView>
  </sheetViews>
  <sheetFormatPr defaultRowHeight="15" x14ac:dyDescent="0.25"/>
  <cols>
    <col min="1" max="1" width="13.140625" style="1" customWidth="1"/>
    <col min="2" max="2" width="46.28515625" style="1" customWidth="1"/>
    <col min="3" max="3" width="11.42578125" style="26" customWidth="1"/>
    <col min="4" max="4" width="22.140625" style="165" customWidth="1"/>
    <col min="5" max="5" width="9.42578125" style="1" customWidth="1"/>
    <col min="6" max="7" width="9.140625" style="1"/>
    <col min="8" max="12" width="9.140625" style="159"/>
    <col min="13" max="16384" width="9.140625" style="1"/>
  </cols>
  <sheetData>
    <row r="1" spans="1:11" ht="48" thickBot="1" x14ac:dyDescent="0.3">
      <c r="A1" s="20" t="s">
        <v>1</v>
      </c>
      <c r="B1" s="11" t="s">
        <v>333</v>
      </c>
      <c r="C1" s="193" t="s">
        <v>65</v>
      </c>
      <c r="D1" s="11" t="s">
        <v>454</v>
      </c>
      <c r="E1" s="192" t="s">
        <v>66</v>
      </c>
    </row>
    <row r="2" spans="1:11" ht="30" x14ac:dyDescent="0.25">
      <c r="A2" s="22" t="s">
        <v>22</v>
      </c>
      <c r="B2" s="12" t="s">
        <v>67</v>
      </c>
      <c r="C2" s="48">
        <v>0.06</v>
      </c>
      <c r="D2" s="23">
        <f>SUMIF('New Allcountry'!A2:A205, NBSAPs!A2, 'New Allcountry'!G2:G205)</f>
        <v>367.57148699999993</v>
      </c>
      <c r="E2" s="13">
        <v>54</v>
      </c>
      <c r="G2" s="9"/>
    </row>
    <row r="3" spans="1:11" ht="30" x14ac:dyDescent="0.25">
      <c r="A3" s="162" t="s">
        <v>176</v>
      </c>
      <c r="B3" s="12" t="s">
        <v>414</v>
      </c>
      <c r="C3" s="131">
        <v>0.05</v>
      </c>
      <c r="D3" s="164" t="s">
        <v>358</v>
      </c>
      <c r="E3" s="78">
        <v>39</v>
      </c>
      <c r="G3" s="9"/>
    </row>
    <row r="4" spans="1:11" ht="30" x14ac:dyDescent="0.25">
      <c r="A4" s="22" t="s">
        <v>68</v>
      </c>
      <c r="B4" s="12" t="s">
        <v>69</v>
      </c>
      <c r="C4" s="48">
        <v>0.1</v>
      </c>
      <c r="D4" s="23">
        <f>SUMIF('New Allcountry'!A3:A206, NBSAPs!A4, 'New Allcountry'!G3:G206)</f>
        <v>10652.322167</v>
      </c>
      <c r="E4" s="13" t="s">
        <v>70</v>
      </c>
      <c r="G4" s="9"/>
    </row>
    <row r="5" spans="1:11" ht="30" x14ac:dyDescent="0.25">
      <c r="A5" s="22" t="s">
        <v>71</v>
      </c>
      <c r="B5" s="12" t="s">
        <v>72</v>
      </c>
      <c r="C5" s="48">
        <v>0.04</v>
      </c>
      <c r="D5" s="23">
        <f>SUMIF('New Allcountry'!A4:A207, NBSAPs!A5, 'New Allcountry'!G4:G207)</f>
        <v>0</v>
      </c>
      <c r="E5" s="41" t="s">
        <v>84</v>
      </c>
    </row>
    <row r="6" spans="1:11" ht="30" x14ac:dyDescent="0.25">
      <c r="A6" s="58" t="s">
        <v>143</v>
      </c>
      <c r="B6" s="14" t="s">
        <v>307</v>
      </c>
      <c r="C6" s="61" t="s">
        <v>308</v>
      </c>
      <c r="D6" s="23">
        <f>SUMIF('New Allcountry'!A5:A208, NBSAPs!A6, 'New Allcountry'!G5:G208)</f>
        <v>1230.6420000000001</v>
      </c>
      <c r="E6" s="16" t="s">
        <v>84</v>
      </c>
      <c r="G6" s="9"/>
    </row>
    <row r="7" spans="1:11" ht="30" x14ac:dyDescent="0.25">
      <c r="A7" s="22" t="s">
        <v>73</v>
      </c>
      <c r="B7" s="12" t="s">
        <v>74</v>
      </c>
      <c r="C7" s="48" t="s">
        <v>75</v>
      </c>
      <c r="D7" s="23">
        <f>SUMIF('New Allcountry'!A6:A209, NBSAPs!A7, 'New Allcountry'!G6:G209)</f>
        <v>763.28000000000009</v>
      </c>
      <c r="E7" s="13">
        <v>51</v>
      </c>
      <c r="G7" s="9"/>
    </row>
    <row r="8" spans="1:11" ht="30" x14ac:dyDescent="0.25">
      <c r="A8" s="162" t="s">
        <v>3</v>
      </c>
      <c r="B8" s="163" t="s">
        <v>415</v>
      </c>
      <c r="C8" s="131">
        <v>0.05</v>
      </c>
      <c r="D8" s="164" t="s">
        <v>359</v>
      </c>
      <c r="E8" s="78">
        <v>55</v>
      </c>
      <c r="G8" s="9"/>
    </row>
    <row r="9" spans="1:11" ht="30" x14ac:dyDescent="0.25">
      <c r="A9" s="22" t="s">
        <v>76</v>
      </c>
      <c r="B9" s="12" t="s">
        <v>77</v>
      </c>
      <c r="C9" s="48">
        <v>0.1</v>
      </c>
      <c r="D9" s="23">
        <f>SUMIF('New Allcountry'!A7:A210, NBSAPs!A9, 'New Allcountry'!G7:G210)</f>
        <v>0</v>
      </c>
      <c r="E9" s="13" t="s">
        <v>78</v>
      </c>
      <c r="G9" s="9"/>
    </row>
    <row r="10" spans="1:11" ht="51" customHeight="1" x14ac:dyDescent="0.25">
      <c r="A10" s="22" t="s">
        <v>79</v>
      </c>
      <c r="B10" s="153" t="s">
        <v>80</v>
      </c>
      <c r="C10" s="48">
        <v>0.05</v>
      </c>
      <c r="D10" s="23">
        <f>SUMIF('New Allcountry'!A8:A211, NBSAPs!A10, 'New Allcountry'!G8:G211)</f>
        <v>1521.3000000000002</v>
      </c>
      <c r="E10" s="13" t="s">
        <v>175</v>
      </c>
      <c r="G10" s="9"/>
    </row>
    <row r="11" spans="1:11" ht="30" x14ac:dyDescent="0.25">
      <c r="A11" s="22" t="s">
        <v>81</v>
      </c>
      <c r="B11" s="12" t="s">
        <v>82</v>
      </c>
      <c r="C11" s="48">
        <v>0.1</v>
      </c>
      <c r="D11" s="23">
        <f>SUMIF('New Allcountry'!A9:A212, NBSAPs!A11, 'New Allcountry'!G9:G212)</f>
        <v>0</v>
      </c>
      <c r="E11" s="13">
        <v>68</v>
      </c>
      <c r="G11" s="9"/>
    </row>
    <row r="12" spans="1:11" ht="30" x14ac:dyDescent="0.25">
      <c r="A12" s="162" t="s">
        <v>190</v>
      </c>
      <c r="B12" s="12" t="s">
        <v>416</v>
      </c>
      <c r="C12" s="131">
        <v>0.05</v>
      </c>
      <c r="D12" s="164" t="s">
        <v>360</v>
      </c>
      <c r="E12" s="167" t="s">
        <v>417</v>
      </c>
      <c r="G12" s="9"/>
      <c r="I12" s="131"/>
      <c r="J12" s="139"/>
      <c r="K12" s="112"/>
    </row>
    <row r="13" spans="1:11" ht="45" x14ac:dyDescent="0.25">
      <c r="A13" s="21" t="s">
        <v>25</v>
      </c>
      <c r="B13" s="14" t="s">
        <v>83</v>
      </c>
      <c r="C13" s="24" t="s">
        <v>418</v>
      </c>
      <c r="D13" s="23">
        <f>SUMIF('New Allcountry'!A10:A213, NBSAPs!A13, 'New Allcountry'!G10:G213)</f>
        <v>83.88</v>
      </c>
      <c r="E13" s="13" t="s">
        <v>85</v>
      </c>
      <c r="G13" s="9"/>
      <c r="I13" s="131"/>
      <c r="J13" s="139"/>
      <c r="K13" s="112"/>
    </row>
    <row r="14" spans="1:11" ht="30" x14ac:dyDescent="0.25">
      <c r="A14" s="22" t="s">
        <v>86</v>
      </c>
      <c r="B14" s="12" t="s">
        <v>69</v>
      </c>
      <c r="C14" s="48">
        <v>0.1</v>
      </c>
      <c r="D14" s="23">
        <f>SUMIF('New Allcountry'!A11:A214, NBSAPs!A14, 'New Allcountry'!G11:G214)</f>
        <v>378923.27</v>
      </c>
      <c r="E14" s="13" t="s">
        <v>174</v>
      </c>
      <c r="F14" s="79"/>
      <c r="G14" s="9"/>
      <c r="I14" s="131"/>
      <c r="J14" s="139"/>
      <c r="K14" s="112"/>
    </row>
    <row r="15" spans="1:11" ht="30" x14ac:dyDescent="0.25">
      <c r="A15" s="162" t="s">
        <v>5</v>
      </c>
      <c r="B15" s="168" t="s">
        <v>420</v>
      </c>
      <c r="C15" s="48">
        <v>0.1</v>
      </c>
      <c r="D15" s="157" t="s">
        <v>358</v>
      </c>
      <c r="E15" s="13" t="s">
        <v>419</v>
      </c>
      <c r="G15" s="9"/>
      <c r="I15" s="131"/>
      <c r="J15" s="139"/>
      <c r="K15" s="112"/>
    </row>
    <row r="16" spans="1:11" ht="30" x14ac:dyDescent="0.25">
      <c r="A16" s="22" t="s">
        <v>87</v>
      </c>
      <c r="B16" s="168" t="s">
        <v>504</v>
      </c>
      <c r="C16" s="49">
        <v>0.05</v>
      </c>
      <c r="D16" s="23">
        <f>SUMIF('New Allcountry'!A12:A215, NBSAPs!A16, 'New Allcountry'!G12:G215)</f>
        <v>562.86672700000008</v>
      </c>
      <c r="E16" s="13">
        <v>103</v>
      </c>
      <c r="G16" s="9"/>
      <c r="I16" s="131"/>
      <c r="J16" s="139"/>
      <c r="K16" s="112"/>
    </row>
    <row r="17" spans="1:11" ht="30" x14ac:dyDescent="0.25">
      <c r="A17" s="162" t="s">
        <v>6</v>
      </c>
      <c r="B17" s="12" t="s">
        <v>72</v>
      </c>
      <c r="C17" s="49">
        <v>0.04</v>
      </c>
      <c r="D17" s="23">
        <f>SUMIF('New Allcountry'!A13:A216, NBSAPs!A17, 'New Allcountry'!G13:G216)</f>
        <v>10177.291084</v>
      </c>
      <c r="E17" s="78">
        <v>66</v>
      </c>
      <c r="G17" s="9"/>
      <c r="I17" s="131"/>
      <c r="J17" s="139"/>
      <c r="K17" s="112"/>
    </row>
    <row r="18" spans="1:11" ht="30" x14ac:dyDescent="0.25">
      <c r="A18" s="21" t="s">
        <v>7</v>
      </c>
      <c r="B18" s="15" t="s">
        <v>120</v>
      </c>
      <c r="C18" s="50">
        <v>0.27</v>
      </c>
      <c r="D18" s="23">
        <f>SUMIF('New Allcountry'!A14:A217, NBSAPs!A18, 'New Allcountry'!G14:G217)</f>
        <v>71962.601949999997</v>
      </c>
      <c r="E18" s="13" t="s">
        <v>88</v>
      </c>
      <c r="G18" s="9"/>
      <c r="I18" s="131"/>
      <c r="J18" s="139"/>
      <c r="K18" s="112"/>
    </row>
    <row r="19" spans="1:11" ht="30" x14ac:dyDescent="0.25">
      <c r="A19" s="22" t="s">
        <v>89</v>
      </c>
      <c r="B19" s="12" t="s">
        <v>90</v>
      </c>
      <c r="C19" s="48">
        <v>0.15</v>
      </c>
      <c r="D19" s="23">
        <f>SUMIF('New Allcountry'!A15:A218, NBSAPs!A19, 'New Allcountry'!G15:G218)</f>
        <v>4302.38</v>
      </c>
      <c r="E19" s="13" t="s">
        <v>91</v>
      </c>
      <c r="G19" s="9"/>
      <c r="I19" s="131"/>
      <c r="J19" s="139"/>
      <c r="K19" s="112"/>
    </row>
    <row r="20" spans="1:11" ht="45" x14ac:dyDescent="0.25">
      <c r="A20" s="162" t="s">
        <v>146</v>
      </c>
      <c r="B20" s="178" t="s">
        <v>447</v>
      </c>
      <c r="C20" s="190" t="s">
        <v>446</v>
      </c>
      <c r="D20" s="23">
        <f>SUMIF('New Allcountry'!A16:A219, NBSAPs!A20, 'New Allcountry'!G16:G219)</f>
        <v>0</v>
      </c>
      <c r="E20" s="187">
        <v>160</v>
      </c>
      <c r="G20" s="9"/>
      <c r="I20" s="131"/>
      <c r="J20" s="139"/>
      <c r="K20" s="112"/>
    </row>
    <row r="21" spans="1:11" ht="31.5" customHeight="1" x14ac:dyDescent="0.25">
      <c r="A21" s="162" t="s">
        <v>201</v>
      </c>
      <c r="B21" s="163" t="s">
        <v>421</v>
      </c>
      <c r="C21" s="50">
        <v>0.05</v>
      </c>
      <c r="D21" s="169" t="s">
        <v>358</v>
      </c>
      <c r="E21" s="170" t="s">
        <v>175</v>
      </c>
      <c r="G21" s="9"/>
      <c r="I21" s="131"/>
      <c r="J21" s="139"/>
      <c r="K21" s="112"/>
    </row>
    <row r="22" spans="1:11" ht="30" x14ac:dyDescent="0.25">
      <c r="A22" s="22" t="s">
        <v>8</v>
      </c>
      <c r="B22" s="12" t="s">
        <v>92</v>
      </c>
      <c r="C22" s="46" t="s">
        <v>334</v>
      </c>
      <c r="D22" s="23">
        <f>SUMIF('New Allcountry'!A16:A219, NBSAPs!A22, 'New Allcountry'!G16:G219)</f>
        <v>0</v>
      </c>
      <c r="E22" s="13">
        <v>61</v>
      </c>
      <c r="G22" s="9"/>
      <c r="I22" s="131"/>
      <c r="J22" s="139"/>
      <c r="K22" s="112"/>
    </row>
    <row r="23" spans="1:11" ht="34.5" customHeight="1" x14ac:dyDescent="0.25">
      <c r="A23" s="22" t="s">
        <v>93</v>
      </c>
      <c r="B23" s="12" t="s">
        <v>69</v>
      </c>
      <c r="C23" s="48">
        <v>0.1</v>
      </c>
      <c r="D23" s="23">
        <f>SUMIF('New Allcountry'!A17:A220, NBSAPs!A23, 'New Allcountry'!G17:G220)</f>
        <v>0</v>
      </c>
      <c r="E23" s="41">
        <v>24</v>
      </c>
      <c r="G23" s="9"/>
      <c r="I23" s="161"/>
      <c r="J23" s="139"/>
      <c r="K23" s="112"/>
    </row>
    <row r="24" spans="1:11" ht="34.5" customHeight="1" x14ac:dyDescent="0.25">
      <c r="A24" s="22" t="s">
        <v>209</v>
      </c>
      <c r="B24" s="12" t="s">
        <v>69</v>
      </c>
      <c r="C24" s="48">
        <v>0.1</v>
      </c>
      <c r="D24" s="23">
        <f>SUMIF('New Allcountry'!A18:A221, NBSAPs!A24, 'New Allcountry'!G18:G221)</f>
        <v>1978.7012410000002</v>
      </c>
      <c r="E24" s="13" t="s">
        <v>94</v>
      </c>
      <c r="G24" s="9"/>
      <c r="H24" s="160"/>
      <c r="I24" s="131"/>
      <c r="J24" s="139"/>
      <c r="K24" s="112"/>
    </row>
    <row r="25" spans="1:11" ht="30" x14ac:dyDescent="0.25">
      <c r="A25" s="22" t="s">
        <v>31</v>
      </c>
      <c r="B25" s="12" t="s">
        <v>95</v>
      </c>
      <c r="C25" s="51">
        <v>2.5000000000000001E-2</v>
      </c>
      <c r="D25" s="23">
        <f>SUMIF('New Allcountry'!A19:A222, NBSAPs!A25, 'New Allcountry'!G19:G222)</f>
        <v>419.71211000000005</v>
      </c>
      <c r="E25" s="13">
        <v>22</v>
      </c>
      <c r="G25" s="9"/>
      <c r="H25" s="160"/>
      <c r="I25" s="131"/>
      <c r="J25" s="139"/>
      <c r="K25" s="112"/>
    </row>
    <row r="26" spans="1:11" ht="30" x14ac:dyDescent="0.25">
      <c r="A26" s="162" t="s">
        <v>211</v>
      </c>
      <c r="B26" s="163" t="s">
        <v>425</v>
      </c>
      <c r="C26" s="49">
        <v>0.1</v>
      </c>
      <c r="D26" s="174" t="s">
        <v>358</v>
      </c>
      <c r="E26" s="78" t="s">
        <v>424</v>
      </c>
      <c r="G26" s="9"/>
      <c r="H26" s="160"/>
      <c r="I26" s="131"/>
      <c r="J26" s="158"/>
      <c r="K26" s="112"/>
    </row>
    <row r="27" spans="1:11" ht="30" x14ac:dyDescent="0.25">
      <c r="A27" s="22" t="s">
        <v>96</v>
      </c>
      <c r="B27" s="14" t="s">
        <v>121</v>
      </c>
      <c r="C27" s="24" t="s">
        <v>84</v>
      </c>
      <c r="D27" s="23">
        <f>SUMIF('New Allcountry'!A20:A223, NBSAPs!A27, 'New Allcountry'!G20:G223)</f>
        <v>0</v>
      </c>
      <c r="E27" s="13" t="s">
        <v>97</v>
      </c>
      <c r="G27" s="9"/>
    </row>
    <row r="28" spans="1:11" ht="30" x14ac:dyDescent="0.25">
      <c r="A28" s="162" t="s">
        <v>149</v>
      </c>
      <c r="B28" s="168" t="s">
        <v>452</v>
      </c>
      <c r="C28" s="46">
        <v>0.1</v>
      </c>
      <c r="D28" s="191" t="s">
        <v>361</v>
      </c>
      <c r="E28" s="78">
        <v>99</v>
      </c>
      <c r="G28" s="9"/>
    </row>
    <row r="29" spans="1:11" ht="30" x14ac:dyDescent="0.25">
      <c r="A29" s="22" t="s">
        <v>98</v>
      </c>
      <c r="B29" s="15" t="s">
        <v>478</v>
      </c>
      <c r="C29" s="48" t="s">
        <v>411</v>
      </c>
      <c r="D29" s="23">
        <f>SUMIF('New Allcountry'!A21:A224, NBSAPs!A29, 'New Allcountry'!G21:G224)</f>
        <v>9659</v>
      </c>
      <c r="E29" s="44" t="s">
        <v>453</v>
      </c>
      <c r="G29" s="9"/>
    </row>
    <row r="30" spans="1:11" ht="30" x14ac:dyDescent="0.25">
      <c r="A30" s="22" t="s">
        <v>34</v>
      </c>
      <c r="B30" s="153" t="s">
        <v>406</v>
      </c>
      <c r="C30" s="48" t="s">
        <v>404</v>
      </c>
      <c r="D30" s="23">
        <f>SUMIF('New Allcountry'!A22:A225, NBSAPs!A30, 'New Allcountry'!G22:G225)</f>
        <v>0</v>
      </c>
      <c r="E30" s="44" t="s">
        <v>405</v>
      </c>
      <c r="G30" s="9"/>
    </row>
    <row r="31" spans="1:11" ht="30" x14ac:dyDescent="0.25">
      <c r="A31" s="162" t="s">
        <v>221</v>
      </c>
      <c r="B31" s="168" t="s">
        <v>422</v>
      </c>
      <c r="C31" s="173">
        <v>0.05</v>
      </c>
      <c r="D31" s="169" t="s">
        <v>358</v>
      </c>
      <c r="E31" s="172" t="s">
        <v>423</v>
      </c>
      <c r="G31" s="9"/>
    </row>
    <row r="32" spans="1:11" ht="30" x14ac:dyDescent="0.25">
      <c r="A32" s="22" t="s">
        <v>99</v>
      </c>
      <c r="B32" s="12" t="s">
        <v>412</v>
      </c>
      <c r="C32" s="48">
        <v>0.1</v>
      </c>
      <c r="D32" s="23">
        <f>SUMIF('New Allcountry'!A23:A226, NBSAPs!A32, 'New Allcountry'!G23:G226)</f>
        <v>14748.858303000001</v>
      </c>
      <c r="E32" s="16">
        <v>86</v>
      </c>
      <c r="G32" s="9"/>
      <c r="H32" s="160"/>
    </row>
    <row r="33" spans="1:7" ht="30" x14ac:dyDescent="0.25">
      <c r="A33" s="22" t="s">
        <v>100</v>
      </c>
      <c r="B33" s="18" t="s">
        <v>122</v>
      </c>
      <c r="C33" s="48">
        <v>0.1</v>
      </c>
      <c r="D33" s="23">
        <f>SUMIF('New Allcountry'!A24:A227, NBSAPs!A33, 'New Allcountry'!G24:G227)</f>
        <v>71371.229999999981</v>
      </c>
      <c r="E33" s="42">
        <v>121</v>
      </c>
      <c r="G33" s="9"/>
    </row>
    <row r="34" spans="1:7" ht="30" x14ac:dyDescent="0.25">
      <c r="A34" s="22" t="s">
        <v>101</v>
      </c>
      <c r="B34" s="12" t="s">
        <v>123</v>
      </c>
      <c r="C34" s="48">
        <v>0.1</v>
      </c>
      <c r="D34" s="23">
        <f>SUMIF('New Allcountry'!A25:A228, NBSAPs!A34, 'New Allcountry'!G25:G228)</f>
        <v>0</v>
      </c>
      <c r="E34" s="13">
        <v>72</v>
      </c>
      <c r="G34" s="9"/>
    </row>
    <row r="35" spans="1:7" ht="30" x14ac:dyDescent="0.25">
      <c r="A35" s="213" t="s">
        <v>11</v>
      </c>
      <c r="B35" s="168" t="s">
        <v>450</v>
      </c>
      <c r="C35" s="49">
        <v>0.2</v>
      </c>
      <c r="D35" s="174" t="s">
        <v>358</v>
      </c>
      <c r="E35" s="78" t="s">
        <v>451</v>
      </c>
      <c r="G35" s="9"/>
    </row>
    <row r="36" spans="1:7" x14ac:dyDescent="0.25">
      <c r="A36" s="162" t="s">
        <v>12</v>
      </c>
      <c r="B36" s="178" t="s">
        <v>426</v>
      </c>
      <c r="C36" s="175">
        <v>0.05</v>
      </c>
      <c r="D36" s="176" t="s">
        <v>361</v>
      </c>
      <c r="E36" s="177">
        <v>90</v>
      </c>
      <c r="G36" s="9"/>
    </row>
    <row r="37" spans="1:7" ht="30" x14ac:dyDescent="0.25">
      <c r="A37" s="162" t="s">
        <v>37</v>
      </c>
      <c r="B37" s="163" t="s">
        <v>427</v>
      </c>
      <c r="C37" s="175">
        <v>0.15</v>
      </c>
      <c r="D37" s="179" t="s">
        <v>360</v>
      </c>
      <c r="E37" s="180" t="s">
        <v>428</v>
      </c>
      <c r="G37" s="9"/>
    </row>
    <row r="38" spans="1:7" ht="30" x14ac:dyDescent="0.25">
      <c r="A38" s="162" t="s">
        <v>232</v>
      </c>
      <c r="B38" s="183" t="s">
        <v>429</v>
      </c>
      <c r="C38" s="181">
        <v>0.1</v>
      </c>
      <c r="D38" s="182" t="s">
        <v>360</v>
      </c>
      <c r="E38" s="167" t="s">
        <v>430</v>
      </c>
      <c r="G38" s="9"/>
    </row>
    <row r="39" spans="1:7" x14ac:dyDescent="0.25">
      <c r="A39" s="162" t="s">
        <v>237</v>
      </c>
      <c r="B39" s="186" t="s">
        <v>431</v>
      </c>
      <c r="C39" s="184">
        <v>0.1</v>
      </c>
      <c r="D39" s="185" t="s">
        <v>360</v>
      </c>
      <c r="E39" s="13" t="s">
        <v>432</v>
      </c>
      <c r="G39" s="9"/>
    </row>
    <row r="40" spans="1:7" ht="30" x14ac:dyDescent="0.25">
      <c r="A40" s="22" t="s">
        <v>60</v>
      </c>
      <c r="B40" s="12" t="s">
        <v>77</v>
      </c>
      <c r="C40" s="48">
        <v>0.1</v>
      </c>
      <c r="D40" s="23">
        <f>SUMIF('New Allcountry'!A26:A229, NBSAPs!A40, 'New Allcountry'!G26:G229)</f>
        <v>0</v>
      </c>
      <c r="E40" s="13">
        <v>294</v>
      </c>
      <c r="G40" s="9"/>
    </row>
    <row r="41" spans="1:7" ht="30" x14ac:dyDescent="0.25">
      <c r="A41" s="162" t="s">
        <v>39</v>
      </c>
      <c r="B41" s="178" t="s">
        <v>433</v>
      </c>
      <c r="C41" s="184">
        <v>0.1</v>
      </c>
      <c r="D41" s="23">
        <f>SUMIF('New Allcountry'!A27:A230, NBSAPs!A41, 'New Allcountry'!G27:G230)</f>
        <v>712.90800000000013</v>
      </c>
      <c r="E41" s="187">
        <v>76</v>
      </c>
      <c r="G41" s="9"/>
    </row>
    <row r="42" spans="1:7" ht="30" x14ac:dyDescent="0.25">
      <c r="A42" s="22" t="s">
        <v>102</v>
      </c>
      <c r="B42" s="12" t="s">
        <v>103</v>
      </c>
      <c r="C42" s="48">
        <v>0.1</v>
      </c>
      <c r="D42" s="23">
        <f>SUMIF('New Allcountry'!A27:A230, NBSAPs!A42, 'New Allcountry'!G27:G230)</f>
        <v>26895.729310000002</v>
      </c>
      <c r="E42" s="13">
        <v>50</v>
      </c>
      <c r="G42" s="9"/>
    </row>
    <row r="43" spans="1:7" ht="30" x14ac:dyDescent="0.25">
      <c r="A43" s="162" t="s">
        <v>242</v>
      </c>
      <c r="B43" s="178" t="s">
        <v>434</v>
      </c>
      <c r="C43" s="175">
        <v>0.05</v>
      </c>
      <c r="D43" s="176" t="s">
        <v>360</v>
      </c>
      <c r="E43" s="180" t="s">
        <v>435</v>
      </c>
      <c r="G43" s="9"/>
    </row>
    <row r="44" spans="1:7" ht="30" x14ac:dyDescent="0.25">
      <c r="A44" s="22" t="s">
        <v>104</v>
      </c>
      <c r="B44" s="12" t="s">
        <v>69</v>
      </c>
      <c r="C44" s="48">
        <v>0.1</v>
      </c>
      <c r="D44" s="23">
        <f>SUMIF('New Allcountry'!A28:A231, NBSAPs!A44, 'New Allcountry'!G28:G231)</f>
        <v>0</v>
      </c>
      <c r="E44" s="13">
        <v>31</v>
      </c>
      <c r="G44" s="9"/>
    </row>
    <row r="45" spans="1:7" ht="30" x14ac:dyDescent="0.25">
      <c r="A45" s="22" t="s">
        <v>159</v>
      </c>
      <c r="B45" s="12" t="s">
        <v>351</v>
      </c>
      <c r="C45" s="48">
        <v>0.1</v>
      </c>
      <c r="D45" s="23">
        <f>SUMIF('New Allcountry'!A29:A232, NBSAPs!A45, 'New Allcountry'!G29:G232)</f>
        <v>20566.992567000001</v>
      </c>
      <c r="E45" s="13" t="s">
        <v>352</v>
      </c>
      <c r="G45" s="9"/>
    </row>
    <row r="46" spans="1:7" ht="45" x14ac:dyDescent="0.25">
      <c r="A46" s="22" t="s">
        <v>253</v>
      </c>
      <c r="B46" s="106" t="s">
        <v>403</v>
      </c>
      <c r="C46" s="48">
        <v>0.3</v>
      </c>
      <c r="D46" s="23">
        <f>SUMIF('New Allcountry'!A30:A233, NBSAPs!A46, 'New Allcountry'!G30:G233)</f>
        <v>0</v>
      </c>
      <c r="E46" s="13" t="s">
        <v>402</v>
      </c>
      <c r="G46" s="9"/>
    </row>
    <row r="47" spans="1:7" ht="45" x14ac:dyDescent="0.25">
      <c r="A47" s="162" t="s">
        <v>45</v>
      </c>
      <c r="B47" s="178" t="s">
        <v>479</v>
      </c>
      <c r="C47" s="175">
        <v>0.04</v>
      </c>
      <c r="D47" s="179">
        <v>29499.184000000001</v>
      </c>
      <c r="E47" s="13" t="s">
        <v>436</v>
      </c>
      <c r="G47" s="9"/>
    </row>
    <row r="48" spans="1:7" ht="36.75" customHeight="1" x14ac:dyDescent="0.25">
      <c r="A48" s="22" t="s">
        <v>47</v>
      </c>
      <c r="B48" s="14" t="s">
        <v>105</v>
      </c>
      <c r="C48" s="49">
        <v>0.1</v>
      </c>
      <c r="D48" s="188">
        <f>SUMIF('New Allcountry'!A31:A234, NBSAPs!A48, 'New Allcountry'!G31:G234)</f>
        <v>27190.38</v>
      </c>
      <c r="E48" s="78">
        <v>36</v>
      </c>
      <c r="F48" s="79"/>
    </row>
    <row r="49" spans="1:5" ht="30" x14ac:dyDescent="0.25">
      <c r="A49" s="22" t="s">
        <v>106</v>
      </c>
      <c r="B49" s="12" t="s">
        <v>107</v>
      </c>
      <c r="C49" s="48">
        <v>0.1</v>
      </c>
      <c r="D49" s="23">
        <f>SUMIF('New Allcountry'!A32:A235, NBSAPs!A49, 'New Allcountry'!G32:G235)</f>
        <v>539088.41</v>
      </c>
      <c r="E49" s="13">
        <v>178</v>
      </c>
    </row>
    <row r="50" spans="1:5" ht="45" x14ac:dyDescent="0.25">
      <c r="A50" s="155" t="s">
        <v>268</v>
      </c>
      <c r="B50" s="153" t="s">
        <v>401</v>
      </c>
      <c r="C50" s="48">
        <v>0.2</v>
      </c>
      <c r="D50" s="23">
        <f>SUMIF('New Allcountry'!A33:A236, NBSAPs!A50, 'New Allcountry'!G33:G236)</f>
        <v>5905.7403490000006</v>
      </c>
      <c r="E50" s="13" t="s">
        <v>400</v>
      </c>
    </row>
    <row r="51" spans="1:5" ht="30" x14ac:dyDescent="0.25">
      <c r="A51" s="22" t="s">
        <v>108</v>
      </c>
      <c r="B51" s="12" t="s">
        <v>105</v>
      </c>
      <c r="C51" s="48">
        <v>0.1</v>
      </c>
      <c r="D51" s="23">
        <f>SUMIF('New Allcountry'!A34:A237, NBSAPs!A51, 'New Allcountry'!G34:G237)</f>
        <v>13115.713032000001</v>
      </c>
      <c r="E51" s="13">
        <v>36</v>
      </c>
    </row>
    <row r="52" spans="1:5" ht="30" x14ac:dyDescent="0.25">
      <c r="A52" s="22" t="s">
        <v>109</v>
      </c>
      <c r="B52" s="12" t="s">
        <v>105</v>
      </c>
      <c r="C52" s="48">
        <v>0.1</v>
      </c>
      <c r="D52" s="23">
        <f>SUMIF('New Allcountry'!A35:A238, NBSAPs!A52, 'New Allcountry'!G35:G238)</f>
        <v>0</v>
      </c>
      <c r="E52" s="13">
        <v>63</v>
      </c>
    </row>
    <row r="53" spans="1:5" ht="30" x14ac:dyDescent="0.25">
      <c r="A53" s="22" t="s">
        <v>110</v>
      </c>
      <c r="B53" s="12" t="s">
        <v>111</v>
      </c>
      <c r="C53" s="48">
        <v>0.15</v>
      </c>
      <c r="D53" s="23">
        <f>SUMIF('New Allcountry'!A36:A239, NBSAPs!A53, 'New Allcountry'!G36:G239)</f>
        <v>239563.07339699997</v>
      </c>
      <c r="E53" s="13">
        <v>114</v>
      </c>
    </row>
    <row r="54" spans="1:5" ht="30" x14ac:dyDescent="0.25">
      <c r="A54" s="22" t="s">
        <v>273</v>
      </c>
      <c r="B54" s="12" t="s">
        <v>439</v>
      </c>
      <c r="C54" s="48">
        <v>0.1</v>
      </c>
      <c r="D54" s="157" t="s">
        <v>363</v>
      </c>
      <c r="E54" s="13" t="s">
        <v>438</v>
      </c>
    </row>
    <row r="55" spans="1:5" ht="30" x14ac:dyDescent="0.25">
      <c r="A55" s="22" t="s">
        <v>152</v>
      </c>
      <c r="B55" s="195" t="s">
        <v>476</v>
      </c>
      <c r="C55" s="173" t="s">
        <v>477</v>
      </c>
      <c r="D55" s="174" t="s">
        <v>362</v>
      </c>
      <c r="E55" s="78" t="s">
        <v>94</v>
      </c>
    </row>
    <row r="56" spans="1:5" ht="30" x14ac:dyDescent="0.25">
      <c r="A56" s="22" t="s">
        <v>61</v>
      </c>
      <c r="B56" s="12" t="s">
        <v>112</v>
      </c>
      <c r="C56" s="48">
        <v>0.1</v>
      </c>
      <c r="D56" s="23">
        <f>SUMIF('New Allcountry'!A37:A240, NBSAPs!A56, 'New Allcountry'!G37:G240)</f>
        <v>0</v>
      </c>
      <c r="E56" s="13">
        <v>69</v>
      </c>
    </row>
    <row r="57" spans="1:5" ht="30" x14ac:dyDescent="0.25">
      <c r="A57" s="22" t="s">
        <v>113</v>
      </c>
      <c r="B57" s="12" t="s">
        <v>413</v>
      </c>
      <c r="C57" s="48">
        <v>0.1</v>
      </c>
      <c r="D57" s="23">
        <f>SUMIF('New Allcountry'!A38:A241, NBSAPs!A57, 'New Allcountry'!G38:G241)</f>
        <v>0</v>
      </c>
      <c r="E57" s="13">
        <v>8</v>
      </c>
    </row>
    <row r="58" spans="1:5" ht="30" x14ac:dyDescent="0.25">
      <c r="A58" s="156" t="s">
        <v>283</v>
      </c>
      <c r="B58" s="12" t="s">
        <v>105</v>
      </c>
      <c r="C58" s="48">
        <v>0.1</v>
      </c>
      <c r="D58" s="23">
        <f>SUMIF('New Allcountry'!A39:A242, NBSAPs!A58, 'New Allcountry'!G39:G242)</f>
        <v>7542.7780230000008</v>
      </c>
      <c r="E58" s="13" t="s">
        <v>399</v>
      </c>
    </row>
    <row r="59" spans="1:5" ht="30" x14ac:dyDescent="0.25">
      <c r="A59" s="162" t="s">
        <v>19</v>
      </c>
      <c r="B59" s="109" t="s">
        <v>440</v>
      </c>
      <c r="C59" s="48">
        <v>0.14000000000000001</v>
      </c>
      <c r="D59" s="157" t="s">
        <v>359</v>
      </c>
      <c r="E59" s="13">
        <v>43</v>
      </c>
    </row>
    <row r="60" spans="1:5" ht="45" x14ac:dyDescent="0.25">
      <c r="A60" s="22" t="s">
        <v>58</v>
      </c>
      <c r="B60" s="12" t="s">
        <v>115</v>
      </c>
      <c r="C60" s="48">
        <v>0.1</v>
      </c>
      <c r="D60" s="23">
        <f>SUMIF('New Allcountry'!A41:A244, NBSAPs!A60, 'New Allcountry'!G41:G244)</f>
        <v>16983.960000000003</v>
      </c>
      <c r="E60" s="13">
        <v>78</v>
      </c>
    </row>
    <row r="61" spans="1:5" ht="30" x14ac:dyDescent="0.25">
      <c r="A61" s="22" t="s">
        <v>116</v>
      </c>
      <c r="B61" s="12" t="s">
        <v>117</v>
      </c>
      <c r="C61" s="48">
        <v>0.02</v>
      </c>
      <c r="D61" s="23">
        <f>SUMIF('New Allcountry'!A42:A245, NBSAPs!A61, 'New Allcountry'!G42:G245)</f>
        <v>0</v>
      </c>
      <c r="E61" s="13">
        <v>38</v>
      </c>
    </row>
    <row r="62" spans="1:5" ht="45" x14ac:dyDescent="0.25">
      <c r="A62" s="154" t="s">
        <v>154</v>
      </c>
      <c r="B62" s="106" t="s">
        <v>441</v>
      </c>
      <c r="C62" s="48">
        <v>0.1</v>
      </c>
      <c r="D62" s="157" t="s">
        <v>358</v>
      </c>
      <c r="E62" s="13">
        <v>31</v>
      </c>
    </row>
    <row r="63" spans="1:5" ht="45" x14ac:dyDescent="0.25">
      <c r="A63" s="22" t="s">
        <v>118</v>
      </c>
      <c r="B63" s="12" t="s">
        <v>124</v>
      </c>
      <c r="C63" s="51">
        <v>2.3999999999999998E-3</v>
      </c>
      <c r="D63" s="23">
        <f>SUMIF('New Allcountry'!A44:A247, NBSAPs!A63, 'New Allcountry'!G44:G247)</f>
        <v>0</v>
      </c>
      <c r="E63" s="16" t="s">
        <v>119</v>
      </c>
    </row>
    <row r="64" spans="1:5" ht="30" x14ac:dyDescent="0.25">
      <c r="A64" s="152" t="s">
        <v>295</v>
      </c>
      <c r="B64" s="153" t="s">
        <v>480</v>
      </c>
      <c r="C64" s="51">
        <v>0.06</v>
      </c>
      <c r="D64" s="23">
        <f>SUMIF('New Allcountry'!A45:A248, NBSAPs!A64, 'New Allcountry'!G45:G248)</f>
        <v>30318.471758999996</v>
      </c>
      <c r="E64" s="16" t="s">
        <v>398</v>
      </c>
    </row>
    <row r="65" spans="1:5" ht="15.75" thickBot="1" x14ac:dyDescent="0.3">
      <c r="B65" s="8"/>
      <c r="C65" s="24"/>
      <c r="D65" s="24"/>
      <c r="E65" s="16"/>
    </row>
    <row r="66" spans="1:5" ht="15.75" thickBot="1" x14ac:dyDescent="0.3">
      <c r="B66" s="8"/>
      <c r="C66" s="52" t="s">
        <v>21</v>
      </c>
      <c r="D66" s="25">
        <f>SUM(D2:D64)</f>
        <v>1536108.2475060001</v>
      </c>
      <c r="E66" s="17"/>
    </row>
    <row r="68" spans="1:5" x14ac:dyDescent="0.25">
      <c r="A68" s="19"/>
      <c r="D68" s="157"/>
    </row>
    <row r="69" spans="1:5" x14ac:dyDescent="0.25">
      <c r="A69" s="19" t="s">
        <v>501</v>
      </c>
    </row>
    <row r="70" spans="1:5" x14ac:dyDescent="0.25">
      <c r="A70" s="40" t="s">
        <v>514</v>
      </c>
      <c r="B70" s="26"/>
    </row>
    <row r="71" spans="1:5" x14ac:dyDescent="0.25">
      <c r="A71" s="40" t="s">
        <v>481</v>
      </c>
    </row>
    <row r="72" spans="1:5" x14ac:dyDescent="0.25">
      <c r="A72" s="40" t="s">
        <v>437</v>
      </c>
      <c r="D72" s="166"/>
    </row>
    <row r="73" spans="1:5" x14ac:dyDescent="0.25">
      <c r="A73" s="40"/>
      <c r="D73" s="166"/>
    </row>
    <row r="74" spans="1:5" x14ac:dyDescent="0.25">
      <c r="A74" s="40"/>
      <c r="D74" s="166"/>
    </row>
    <row r="75" spans="1:5" x14ac:dyDescent="0.25">
      <c r="A75" s="40"/>
      <c r="D75" s="166"/>
    </row>
    <row r="76" spans="1:5" x14ac:dyDescent="0.25">
      <c r="A76" s="40"/>
      <c r="D76" s="166"/>
    </row>
    <row r="77" spans="1:5" x14ac:dyDescent="0.25">
      <c r="A77" s="40"/>
      <c r="D77" s="166"/>
    </row>
    <row r="78" spans="1:5" x14ac:dyDescent="0.25">
      <c r="D78" s="166"/>
    </row>
    <row r="79" spans="1:5" x14ac:dyDescent="0.25">
      <c r="D79" s="166"/>
    </row>
    <row r="80" spans="1:5" x14ac:dyDescent="0.25">
      <c r="D80" s="166"/>
    </row>
    <row r="81" spans="4:4" x14ac:dyDescent="0.25">
      <c r="D81" s="166"/>
    </row>
    <row r="82" spans="4:4" x14ac:dyDescent="0.25">
      <c r="D82" s="166"/>
    </row>
    <row r="83" spans="4:4" x14ac:dyDescent="0.25">
      <c r="D83" s="166"/>
    </row>
    <row r="84" spans="4:4" x14ac:dyDescent="0.25">
      <c r="D84" s="166"/>
    </row>
    <row r="85" spans="4:4" x14ac:dyDescent="0.25">
      <c r="D85" s="166"/>
    </row>
    <row r="86" spans="4:4" x14ac:dyDescent="0.25">
      <c r="D86" s="166"/>
    </row>
    <row r="87" spans="4:4" x14ac:dyDescent="0.25">
      <c r="D87" s="166"/>
    </row>
    <row r="88" spans="4:4" x14ac:dyDescent="0.25">
      <c r="D88" s="166"/>
    </row>
    <row r="89" spans="4:4" x14ac:dyDescent="0.25">
      <c r="D89" s="166"/>
    </row>
    <row r="90" spans="4:4" x14ac:dyDescent="0.25">
      <c r="D90" s="166"/>
    </row>
    <row r="91" spans="4:4" x14ac:dyDescent="0.25">
      <c r="D91" s="166"/>
    </row>
    <row r="92" spans="4:4" x14ac:dyDescent="0.25">
      <c r="D92" s="166"/>
    </row>
    <row r="93" spans="4:4" x14ac:dyDescent="0.25">
      <c r="D93" s="166"/>
    </row>
    <row r="94" spans="4:4" x14ac:dyDescent="0.25">
      <c r="D94" s="166"/>
    </row>
    <row r="95" spans="4:4" x14ac:dyDescent="0.25">
      <c r="D95" s="166"/>
    </row>
    <row r="96" spans="4:4" x14ac:dyDescent="0.25">
      <c r="D96" s="166"/>
    </row>
    <row r="97" spans="4:4" x14ac:dyDescent="0.25">
      <c r="D97" s="166"/>
    </row>
    <row r="98" spans="4:4" x14ac:dyDescent="0.25">
      <c r="D98" s="166"/>
    </row>
    <row r="99" spans="4:4" x14ac:dyDescent="0.25">
      <c r="D99" s="166"/>
    </row>
    <row r="100" spans="4:4" x14ac:dyDescent="0.25">
      <c r="D100" s="166"/>
    </row>
    <row r="101" spans="4:4" x14ac:dyDescent="0.25">
      <c r="D101" s="166"/>
    </row>
    <row r="102" spans="4:4" x14ac:dyDescent="0.25">
      <c r="D102" s="166"/>
    </row>
    <row r="103" spans="4:4" x14ac:dyDescent="0.25">
      <c r="D103" s="166"/>
    </row>
    <row r="104" spans="4:4" x14ac:dyDescent="0.25">
      <c r="D104" s="166"/>
    </row>
    <row r="105" spans="4:4" x14ac:dyDescent="0.25">
      <c r="D105" s="166"/>
    </row>
    <row r="106" spans="4:4" x14ac:dyDescent="0.25">
      <c r="D106" s="166"/>
    </row>
    <row r="107" spans="4:4" x14ac:dyDescent="0.25">
      <c r="D107" s="166"/>
    </row>
    <row r="108" spans="4:4" x14ac:dyDescent="0.25">
      <c r="D108" s="166"/>
    </row>
    <row r="109" spans="4:4" x14ac:dyDescent="0.25">
      <c r="D109" s="166"/>
    </row>
    <row r="110" spans="4:4" x14ac:dyDescent="0.25">
      <c r="D110" s="166"/>
    </row>
    <row r="111" spans="4:4" x14ac:dyDescent="0.25">
      <c r="D111" s="166"/>
    </row>
    <row r="112" spans="4:4" x14ac:dyDescent="0.25">
      <c r="D112" s="166"/>
    </row>
    <row r="113" spans="4:4" x14ac:dyDescent="0.25">
      <c r="D113" s="166"/>
    </row>
    <row r="114" spans="4:4" x14ac:dyDescent="0.25">
      <c r="D114" s="166"/>
    </row>
    <row r="115" spans="4:4" x14ac:dyDescent="0.25">
      <c r="D115" s="166"/>
    </row>
    <row r="116" spans="4:4" x14ac:dyDescent="0.25">
      <c r="D116" s="166"/>
    </row>
    <row r="117" spans="4:4" x14ac:dyDescent="0.25">
      <c r="D117" s="166"/>
    </row>
    <row r="118" spans="4:4" x14ac:dyDescent="0.25">
      <c r="D118" s="166"/>
    </row>
    <row r="119" spans="4:4" x14ac:dyDescent="0.25">
      <c r="D119" s="166"/>
    </row>
    <row r="120" spans="4:4" x14ac:dyDescent="0.25">
      <c r="D120" s="166"/>
    </row>
    <row r="121" spans="4:4" x14ac:dyDescent="0.25">
      <c r="D121" s="166"/>
    </row>
    <row r="122" spans="4:4" x14ac:dyDescent="0.25">
      <c r="D122" s="166"/>
    </row>
    <row r="123" spans="4:4" x14ac:dyDescent="0.25">
      <c r="D123" s="166"/>
    </row>
    <row r="124" spans="4:4" x14ac:dyDescent="0.25">
      <c r="D124" s="166"/>
    </row>
    <row r="125" spans="4:4" x14ac:dyDescent="0.25">
      <c r="D125" s="166"/>
    </row>
    <row r="126" spans="4:4" x14ac:dyDescent="0.25">
      <c r="D126" s="166"/>
    </row>
    <row r="127" spans="4:4" x14ac:dyDescent="0.25">
      <c r="D127" s="166"/>
    </row>
    <row r="128" spans="4:4" x14ac:dyDescent="0.25">
      <c r="D128" s="166"/>
    </row>
    <row r="129" spans="4:4" x14ac:dyDescent="0.25">
      <c r="D129" s="166"/>
    </row>
    <row r="130" spans="4:4" x14ac:dyDescent="0.25">
      <c r="D130" s="166"/>
    </row>
    <row r="131" spans="4:4" x14ac:dyDescent="0.25">
      <c r="D131" s="166"/>
    </row>
    <row r="132" spans="4:4" x14ac:dyDescent="0.25">
      <c r="D132" s="166"/>
    </row>
    <row r="133" spans="4:4" x14ac:dyDescent="0.25">
      <c r="D133" s="166"/>
    </row>
    <row r="134" spans="4:4" x14ac:dyDescent="0.25">
      <c r="D134" s="166"/>
    </row>
    <row r="135" spans="4:4" x14ac:dyDescent="0.25">
      <c r="D135" s="166"/>
    </row>
    <row r="136" spans="4:4" x14ac:dyDescent="0.25">
      <c r="D136" s="166"/>
    </row>
    <row r="137" spans="4:4" x14ac:dyDescent="0.25">
      <c r="D137" s="166"/>
    </row>
    <row r="138" spans="4:4" x14ac:dyDescent="0.25">
      <c r="D138" s="166"/>
    </row>
    <row r="139" spans="4:4" x14ac:dyDescent="0.25">
      <c r="D139" s="166"/>
    </row>
    <row r="140" spans="4:4" x14ac:dyDescent="0.25">
      <c r="D140" s="166"/>
    </row>
    <row r="141" spans="4:4" x14ac:dyDescent="0.25">
      <c r="D141" s="166"/>
    </row>
    <row r="142" spans="4:4" x14ac:dyDescent="0.25">
      <c r="D142" s="166"/>
    </row>
    <row r="143" spans="4:4" x14ac:dyDescent="0.25">
      <c r="D143" s="166"/>
    </row>
    <row r="144" spans="4:4" x14ac:dyDescent="0.25">
      <c r="D144" s="166"/>
    </row>
    <row r="145" spans="4:4" x14ac:dyDescent="0.25">
      <c r="D145" s="166"/>
    </row>
    <row r="146" spans="4:4" x14ac:dyDescent="0.25">
      <c r="D146" s="166"/>
    </row>
    <row r="147" spans="4:4" x14ac:dyDescent="0.25">
      <c r="D147" s="166"/>
    </row>
    <row r="148" spans="4:4" x14ac:dyDescent="0.25">
      <c r="D148" s="166"/>
    </row>
    <row r="149" spans="4:4" x14ac:dyDescent="0.25">
      <c r="D149" s="166"/>
    </row>
    <row r="150" spans="4:4" x14ac:dyDescent="0.25">
      <c r="D150" s="166"/>
    </row>
    <row r="151" spans="4:4" x14ac:dyDescent="0.25">
      <c r="D151" s="166"/>
    </row>
    <row r="152" spans="4:4" x14ac:dyDescent="0.25">
      <c r="D152" s="166"/>
    </row>
    <row r="153" spans="4:4" x14ac:dyDescent="0.25">
      <c r="D153" s="166"/>
    </row>
    <row r="154" spans="4:4" x14ac:dyDescent="0.25">
      <c r="D154" s="166"/>
    </row>
    <row r="155" spans="4:4" x14ac:dyDescent="0.25">
      <c r="D155" s="166"/>
    </row>
    <row r="156" spans="4:4" x14ac:dyDescent="0.25">
      <c r="D156" s="166"/>
    </row>
    <row r="157" spans="4:4" x14ac:dyDescent="0.25">
      <c r="D157" s="166"/>
    </row>
    <row r="158" spans="4:4" x14ac:dyDescent="0.25">
      <c r="D158" s="166"/>
    </row>
    <row r="159" spans="4:4" x14ac:dyDescent="0.25">
      <c r="D159" s="166"/>
    </row>
    <row r="160" spans="4:4" x14ac:dyDescent="0.25">
      <c r="D160" s="166"/>
    </row>
    <row r="161" spans="4:4" x14ac:dyDescent="0.25">
      <c r="D161" s="166"/>
    </row>
    <row r="162" spans="4:4" x14ac:dyDescent="0.25">
      <c r="D162" s="166"/>
    </row>
    <row r="163" spans="4:4" x14ac:dyDescent="0.25">
      <c r="D163" s="166"/>
    </row>
    <row r="164" spans="4:4" x14ac:dyDescent="0.25">
      <c r="D164" s="166"/>
    </row>
    <row r="165" spans="4:4" x14ac:dyDescent="0.25">
      <c r="D165" s="166"/>
    </row>
    <row r="166" spans="4:4" x14ac:dyDescent="0.25">
      <c r="D166" s="166"/>
    </row>
    <row r="167" spans="4:4" x14ac:dyDescent="0.25">
      <c r="D167" s="166"/>
    </row>
    <row r="168" spans="4:4" x14ac:dyDescent="0.25">
      <c r="D168" s="166"/>
    </row>
    <row r="169" spans="4:4" x14ac:dyDescent="0.25">
      <c r="D169" s="166"/>
    </row>
    <row r="170" spans="4:4" x14ac:dyDescent="0.25">
      <c r="D170" s="166"/>
    </row>
    <row r="171" spans="4:4" x14ac:dyDescent="0.25">
      <c r="D171" s="166"/>
    </row>
    <row r="172" spans="4:4" x14ac:dyDescent="0.25">
      <c r="D172" s="166"/>
    </row>
    <row r="173" spans="4:4" x14ac:dyDescent="0.25">
      <c r="D173" s="166"/>
    </row>
    <row r="174" spans="4:4" x14ac:dyDescent="0.25">
      <c r="D174" s="166"/>
    </row>
    <row r="175" spans="4:4" x14ac:dyDescent="0.25">
      <c r="D175" s="166"/>
    </row>
    <row r="176" spans="4:4" x14ac:dyDescent="0.25">
      <c r="D176" s="166"/>
    </row>
    <row r="177" spans="4:4" x14ac:dyDescent="0.25">
      <c r="D177" s="166"/>
    </row>
    <row r="178" spans="4:4" x14ac:dyDescent="0.25">
      <c r="D178" s="166"/>
    </row>
    <row r="179" spans="4:4" x14ac:dyDescent="0.25">
      <c r="D179" s="166"/>
    </row>
    <row r="180" spans="4:4" x14ac:dyDescent="0.25">
      <c r="D180" s="166"/>
    </row>
    <row r="181" spans="4:4" x14ac:dyDescent="0.25">
      <c r="D181" s="166"/>
    </row>
    <row r="182" spans="4:4" x14ac:dyDescent="0.25">
      <c r="D182" s="166"/>
    </row>
    <row r="183" spans="4:4" x14ac:dyDescent="0.25">
      <c r="D183" s="166"/>
    </row>
    <row r="184" spans="4:4" x14ac:dyDescent="0.25">
      <c r="D184" s="166"/>
    </row>
    <row r="185" spans="4:4" x14ac:dyDescent="0.25">
      <c r="D185" s="166"/>
    </row>
    <row r="186" spans="4:4" x14ac:dyDescent="0.25">
      <c r="D186" s="166"/>
    </row>
    <row r="187" spans="4:4" x14ac:dyDescent="0.25">
      <c r="D187" s="166"/>
    </row>
    <row r="188" spans="4:4" x14ac:dyDescent="0.25">
      <c r="D188" s="166"/>
    </row>
    <row r="189" spans="4:4" x14ac:dyDescent="0.25">
      <c r="D189" s="166"/>
    </row>
    <row r="190" spans="4:4" x14ac:dyDescent="0.25">
      <c r="D190" s="166"/>
    </row>
    <row r="191" spans="4:4" x14ac:dyDescent="0.25">
      <c r="D191" s="166"/>
    </row>
    <row r="192" spans="4:4" x14ac:dyDescent="0.25">
      <c r="D192" s="166"/>
    </row>
    <row r="193" spans="4:4" x14ac:dyDescent="0.25">
      <c r="D193" s="166"/>
    </row>
    <row r="194" spans="4:4" x14ac:dyDescent="0.25">
      <c r="D194" s="166"/>
    </row>
    <row r="195" spans="4:4" x14ac:dyDescent="0.25">
      <c r="D195" s="166"/>
    </row>
    <row r="196" spans="4:4" x14ac:dyDescent="0.25">
      <c r="D196" s="166"/>
    </row>
    <row r="197" spans="4:4" x14ac:dyDescent="0.25">
      <c r="D197" s="166"/>
    </row>
    <row r="198" spans="4:4" x14ac:dyDescent="0.25">
      <c r="D198" s="166"/>
    </row>
    <row r="199" spans="4:4" x14ac:dyDescent="0.25">
      <c r="D199" s="166"/>
    </row>
    <row r="200" spans="4:4" x14ac:dyDescent="0.25">
      <c r="D200" s="166"/>
    </row>
    <row r="201" spans="4:4" x14ac:dyDescent="0.25">
      <c r="D201" s="166"/>
    </row>
    <row r="202" spans="4:4" x14ac:dyDescent="0.25">
      <c r="D202" s="166"/>
    </row>
    <row r="203" spans="4:4" x14ac:dyDescent="0.25">
      <c r="D203" s="166"/>
    </row>
    <row r="204" spans="4:4" x14ac:dyDescent="0.25">
      <c r="D204" s="166"/>
    </row>
    <row r="205" spans="4:4" x14ac:dyDescent="0.25">
      <c r="D205" s="166"/>
    </row>
    <row r="206" spans="4:4" x14ac:dyDescent="0.25">
      <c r="D206" s="166"/>
    </row>
    <row r="207" spans="4:4" x14ac:dyDescent="0.25">
      <c r="D207" s="166"/>
    </row>
    <row r="208" spans="4:4" x14ac:dyDescent="0.25">
      <c r="D208" s="166"/>
    </row>
    <row r="209" spans="4:4" x14ac:dyDescent="0.25">
      <c r="D209" s="166"/>
    </row>
    <row r="210" spans="4:4" x14ac:dyDescent="0.25">
      <c r="D210" s="166"/>
    </row>
    <row r="211" spans="4:4" x14ac:dyDescent="0.25">
      <c r="D211" s="166"/>
    </row>
    <row r="212" spans="4:4" x14ac:dyDescent="0.25">
      <c r="D212" s="166"/>
    </row>
    <row r="213" spans="4:4" x14ac:dyDescent="0.25">
      <c r="D213" s="166"/>
    </row>
    <row r="214" spans="4:4" x14ac:dyDescent="0.25">
      <c r="D214" s="166"/>
    </row>
    <row r="215" spans="4:4" x14ac:dyDescent="0.25">
      <c r="D215" s="166"/>
    </row>
    <row r="216" spans="4:4" x14ac:dyDescent="0.25">
      <c r="D216" s="166"/>
    </row>
    <row r="217" spans="4:4" x14ac:dyDescent="0.25">
      <c r="D217" s="166"/>
    </row>
    <row r="218" spans="4:4" x14ac:dyDescent="0.25">
      <c r="D218" s="166"/>
    </row>
    <row r="219" spans="4:4" x14ac:dyDescent="0.25">
      <c r="D219" s="166"/>
    </row>
    <row r="220" spans="4:4" x14ac:dyDescent="0.25">
      <c r="D220" s="166"/>
    </row>
    <row r="221" spans="4:4" x14ac:dyDescent="0.25">
      <c r="D221" s="166"/>
    </row>
    <row r="222" spans="4:4" x14ac:dyDescent="0.25">
      <c r="D222" s="166"/>
    </row>
    <row r="223" spans="4:4" x14ac:dyDescent="0.25">
      <c r="D223" s="166"/>
    </row>
    <row r="224" spans="4:4" x14ac:dyDescent="0.25">
      <c r="D224" s="166"/>
    </row>
    <row r="225" spans="4:4" x14ac:dyDescent="0.25">
      <c r="D225" s="166"/>
    </row>
    <row r="226" spans="4:4" x14ac:dyDescent="0.25">
      <c r="D226" s="166"/>
    </row>
    <row r="227" spans="4:4" x14ac:dyDescent="0.25">
      <c r="D227" s="166"/>
    </row>
    <row r="228" spans="4:4" x14ac:dyDescent="0.25">
      <c r="D228" s="166"/>
    </row>
    <row r="229" spans="4:4" x14ac:dyDescent="0.25">
      <c r="D229" s="166"/>
    </row>
    <row r="230" spans="4:4" x14ac:dyDescent="0.25">
      <c r="D230" s="166"/>
    </row>
    <row r="231" spans="4:4" x14ac:dyDescent="0.25">
      <c r="D231" s="166"/>
    </row>
    <row r="232" spans="4:4" x14ac:dyDescent="0.25">
      <c r="D232" s="166"/>
    </row>
    <row r="233" spans="4:4" x14ac:dyDescent="0.25">
      <c r="D233" s="166"/>
    </row>
    <row r="234" spans="4:4" x14ac:dyDescent="0.25">
      <c r="D234" s="166"/>
    </row>
    <row r="235" spans="4:4" x14ac:dyDescent="0.25">
      <c r="D235" s="166"/>
    </row>
    <row r="236" spans="4:4" x14ac:dyDescent="0.25">
      <c r="D236" s="166"/>
    </row>
    <row r="237" spans="4:4" x14ac:dyDescent="0.25">
      <c r="D237" s="166"/>
    </row>
    <row r="238" spans="4:4" x14ac:dyDescent="0.25">
      <c r="D238" s="166"/>
    </row>
    <row r="239" spans="4:4" x14ac:dyDescent="0.25">
      <c r="D239" s="166"/>
    </row>
    <row r="240" spans="4:4" x14ac:dyDescent="0.25">
      <c r="D240" s="166"/>
    </row>
    <row r="241" spans="4:4" x14ac:dyDescent="0.25">
      <c r="D241" s="166"/>
    </row>
    <row r="242" spans="4:4" x14ac:dyDescent="0.25">
      <c r="D242" s="166"/>
    </row>
    <row r="243" spans="4:4" x14ac:dyDescent="0.25">
      <c r="D243" s="166"/>
    </row>
    <row r="244" spans="4:4" x14ac:dyDescent="0.25">
      <c r="D244" s="166"/>
    </row>
    <row r="245" spans="4:4" x14ac:dyDescent="0.25">
      <c r="D245" s="166"/>
    </row>
    <row r="246" spans="4:4" x14ac:dyDescent="0.25">
      <c r="D246" s="166"/>
    </row>
    <row r="247" spans="4:4" x14ac:dyDescent="0.25">
      <c r="D247" s="166"/>
    </row>
    <row r="248" spans="4:4" x14ac:dyDescent="0.25">
      <c r="D248" s="166"/>
    </row>
    <row r="249" spans="4:4" x14ac:dyDescent="0.25">
      <c r="D249" s="166"/>
    </row>
    <row r="250" spans="4:4" x14ac:dyDescent="0.25">
      <c r="D250" s="166"/>
    </row>
    <row r="251" spans="4:4" x14ac:dyDescent="0.25">
      <c r="D251" s="166"/>
    </row>
    <row r="252" spans="4:4" x14ac:dyDescent="0.25">
      <c r="D252" s="166"/>
    </row>
    <row r="253" spans="4:4" x14ac:dyDescent="0.25">
      <c r="D253" s="166"/>
    </row>
    <row r="254" spans="4:4" x14ac:dyDescent="0.25">
      <c r="D254" s="166"/>
    </row>
    <row r="255" spans="4:4" x14ac:dyDescent="0.25">
      <c r="D255" s="166"/>
    </row>
    <row r="256" spans="4:4" x14ac:dyDescent="0.25">
      <c r="D256" s="166"/>
    </row>
    <row r="257" spans="4:4" x14ac:dyDescent="0.25">
      <c r="D257" s="166"/>
    </row>
    <row r="258" spans="4:4" x14ac:dyDescent="0.25">
      <c r="D258" s="166"/>
    </row>
    <row r="259" spans="4:4" x14ac:dyDescent="0.25">
      <c r="D259" s="166"/>
    </row>
    <row r="260" spans="4:4" x14ac:dyDescent="0.25">
      <c r="D260" s="166"/>
    </row>
    <row r="261" spans="4:4" x14ac:dyDescent="0.25">
      <c r="D261" s="166"/>
    </row>
    <row r="262" spans="4:4" x14ac:dyDescent="0.25">
      <c r="D262" s="166"/>
    </row>
    <row r="263" spans="4:4" x14ac:dyDescent="0.25">
      <c r="D263" s="166"/>
    </row>
    <row r="264" spans="4:4" x14ac:dyDescent="0.25">
      <c r="D264" s="166"/>
    </row>
    <row r="265" spans="4:4" x14ac:dyDescent="0.25">
      <c r="D265" s="166"/>
    </row>
    <row r="266" spans="4:4" x14ac:dyDescent="0.25">
      <c r="D266" s="166"/>
    </row>
    <row r="267" spans="4:4" x14ac:dyDescent="0.25">
      <c r="D267" s="166"/>
    </row>
    <row r="268" spans="4:4" x14ac:dyDescent="0.25">
      <c r="D268" s="166"/>
    </row>
    <row r="269" spans="4:4" x14ac:dyDescent="0.25">
      <c r="D269" s="166"/>
    </row>
    <row r="270" spans="4:4" x14ac:dyDescent="0.25">
      <c r="D270" s="166"/>
    </row>
    <row r="271" spans="4:4" x14ac:dyDescent="0.25">
      <c r="D271" s="166"/>
    </row>
    <row r="272" spans="4:4" x14ac:dyDescent="0.25">
      <c r="D272" s="166"/>
    </row>
    <row r="273" spans="4:4" x14ac:dyDescent="0.25">
      <c r="D273" s="166"/>
    </row>
    <row r="274" spans="4:4" x14ac:dyDescent="0.25">
      <c r="D274" s="166"/>
    </row>
    <row r="275" spans="4:4" x14ac:dyDescent="0.25">
      <c r="D275" s="166"/>
    </row>
    <row r="276" spans="4:4" x14ac:dyDescent="0.25">
      <c r="D276" s="166"/>
    </row>
    <row r="277" spans="4:4" x14ac:dyDescent="0.25">
      <c r="D277" s="166"/>
    </row>
    <row r="278" spans="4:4" x14ac:dyDescent="0.25">
      <c r="D278" s="166"/>
    </row>
    <row r="279" spans="4:4" x14ac:dyDescent="0.25">
      <c r="D279" s="166"/>
    </row>
    <row r="280" spans="4:4" x14ac:dyDescent="0.25">
      <c r="D280" s="166"/>
    </row>
    <row r="281" spans="4:4" x14ac:dyDescent="0.25">
      <c r="D281" s="166"/>
    </row>
    <row r="282" spans="4:4" x14ac:dyDescent="0.25">
      <c r="D282" s="166"/>
    </row>
    <row r="283" spans="4:4" x14ac:dyDescent="0.25">
      <c r="D283" s="166"/>
    </row>
    <row r="284" spans="4:4" x14ac:dyDescent="0.25">
      <c r="D284" s="166"/>
    </row>
    <row r="285" spans="4:4" x14ac:dyDescent="0.25">
      <c r="D285" s="166"/>
    </row>
    <row r="286" spans="4:4" x14ac:dyDescent="0.25">
      <c r="D286" s="166"/>
    </row>
    <row r="287" spans="4:4" x14ac:dyDescent="0.25">
      <c r="D287" s="166"/>
    </row>
    <row r="288" spans="4:4" x14ac:dyDescent="0.25">
      <c r="D288" s="166"/>
    </row>
    <row r="289" spans="4:4" x14ac:dyDescent="0.25">
      <c r="D289" s="166"/>
    </row>
    <row r="290" spans="4:4" x14ac:dyDescent="0.25">
      <c r="D290" s="166"/>
    </row>
    <row r="291" spans="4:4" x14ac:dyDescent="0.25">
      <c r="D291" s="166"/>
    </row>
    <row r="292" spans="4:4" x14ac:dyDescent="0.25">
      <c r="D292" s="166"/>
    </row>
    <row r="293" spans="4:4" x14ac:dyDescent="0.25">
      <c r="D293" s="166"/>
    </row>
    <row r="294" spans="4:4" x14ac:dyDescent="0.25">
      <c r="D294" s="166"/>
    </row>
    <row r="295" spans="4:4" x14ac:dyDescent="0.25">
      <c r="D295" s="166"/>
    </row>
    <row r="296" spans="4:4" x14ac:dyDescent="0.25">
      <c r="D296" s="166"/>
    </row>
    <row r="297" spans="4:4" x14ac:dyDescent="0.25">
      <c r="D297" s="166"/>
    </row>
    <row r="298" spans="4:4" x14ac:dyDescent="0.25">
      <c r="D298" s="166"/>
    </row>
    <row r="299" spans="4:4" x14ac:dyDescent="0.25">
      <c r="D299" s="166"/>
    </row>
    <row r="300" spans="4:4" x14ac:dyDescent="0.25">
      <c r="D300" s="166"/>
    </row>
    <row r="301" spans="4:4" x14ac:dyDescent="0.25">
      <c r="D301" s="166"/>
    </row>
    <row r="302" spans="4:4" x14ac:dyDescent="0.25">
      <c r="D302" s="166"/>
    </row>
    <row r="303" spans="4:4" x14ac:dyDescent="0.25">
      <c r="D303" s="166"/>
    </row>
    <row r="304" spans="4:4" x14ac:dyDescent="0.25">
      <c r="D304" s="166"/>
    </row>
    <row r="305" spans="4:4" x14ac:dyDescent="0.25">
      <c r="D305" s="166"/>
    </row>
    <row r="306" spans="4:4" x14ac:dyDescent="0.25">
      <c r="D306" s="166"/>
    </row>
    <row r="307" spans="4:4" x14ac:dyDescent="0.25">
      <c r="D307" s="166"/>
    </row>
    <row r="308" spans="4:4" x14ac:dyDescent="0.25">
      <c r="D308" s="166"/>
    </row>
    <row r="309" spans="4:4" x14ac:dyDescent="0.25">
      <c r="D309" s="166"/>
    </row>
    <row r="310" spans="4:4" x14ac:dyDescent="0.25">
      <c r="D310" s="166"/>
    </row>
    <row r="311" spans="4:4" x14ac:dyDescent="0.25">
      <c r="D311" s="166"/>
    </row>
    <row r="312" spans="4:4" x14ac:dyDescent="0.25">
      <c r="D312" s="166"/>
    </row>
    <row r="313" spans="4:4" x14ac:dyDescent="0.25">
      <c r="D313" s="166"/>
    </row>
    <row r="314" spans="4:4" x14ac:dyDescent="0.25">
      <c r="D314" s="166"/>
    </row>
    <row r="315" spans="4:4" x14ac:dyDescent="0.25">
      <c r="D315" s="166"/>
    </row>
    <row r="316" spans="4:4" x14ac:dyDescent="0.25">
      <c r="D316" s="166"/>
    </row>
    <row r="317" spans="4:4" x14ac:dyDescent="0.25">
      <c r="D317" s="166"/>
    </row>
    <row r="318" spans="4:4" x14ac:dyDescent="0.25">
      <c r="D318" s="166"/>
    </row>
    <row r="319" spans="4:4" x14ac:dyDescent="0.25">
      <c r="D319" s="166"/>
    </row>
    <row r="320" spans="4:4" x14ac:dyDescent="0.25">
      <c r="D320" s="166"/>
    </row>
    <row r="321" spans="4:4" x14ac:dyDescent="0.25">
      <c r="D321" s="166"/>
    </row>
    <row r="322" spans="4:4" x14ac:dyDescent="0.25">
      <c r="D322" s="166"/>
    </row>
    <row r="323" spans="4:4" x14ac:dyDescent="0.25">
      <c r="D323" s="166"/>
    </row>
    <row r="324" spans="4:4" x14ac:dyDescent="0.25">
      <c r="D324" s="166"/>
    </row>
    <row r="325" spans="4:4" x14ac:dyDescent="0.25">
      <c r="D325" s="166"/>
    </row>
    <row r="326" spans="4:4" x14ac:dyDescent="0.25">
      <c r="D326" s="166"/>
    </row>
    <row r="327" spans="4:4" x14ac:dyDescent="0.25">
      <c r="D327" s="166"/>
    </row>
    <row r="328" spans="4:4" x14ac:dyDescent="0.25">
      <c r="D328" s="166"/>
    </row>
    <row r="329" spans="4:4" x14ac:dyDescent="0.25">
      <c r="D329" s="166"/>
    </row>
    <row r="330" spans="4:4" x14ac:dyDescent="0.25">
      <c r="D330" s="166"/>
    </row>
    <row r="331" spans="4:4" x14ac:dyDescent="0.25">
      <c r="D331" s="166"/>
    </row>
    <row r="332" spans="4:4" x14ac:dyDescent="0.25">
      <c r="D332" s="166"/>
    </row>
    <row r="333" spans="4:4" x14ac:dyDescent="0.25">
      <c r="D333" s="166"/>
    </row>
    <row r="334" spans="4:4" x14ac:dyDescent="0.25">
      <c r="D334" s="166"/>
    </row>
    <row r="335" spans="4:4" x14ac:dyDescent="0.25">
      <c r="D335" s="166"/>
    </row>
    <row r="336" spans="4:4" x14ac:dyDescent="0.25">
      <c r="D336" s="166"/>
    </row>
    <row r="337" spans="4:4" x14ac:dyDescent="0.25">
      <c r="D337" s="166"/>
    </row>
    <row r="338" spans="4:4" x14ac:dyDescent="0.25">
      <c r="D338" s="166"/>
    </row>
    <row r="339" spans="4:4" x14ac:dyDescent="0.25">
      <c r="D339" s="166"/>
    </row>
    <row r="340" spans="4:4" x14ac:dyDescent="0.25">
      <c r="D340" s="166"/>
    </row>
    <row r="341" spans="4:4" x14ac:dyDescent="0.25">
      <c r="D341" s="166"/>
    </row>
    <row r="342" spans="4:4" x14ac:dyDescent="0.25">
      <c r="D342" s="166"/>
    </row>
    <row r="343" spans="4:4" x14ac:dyDescent="0.25">
      <c r="D343" s="166"/>
    </row>
    <row r="344" spans="4:4" x14ac:dyDescent="0.25">
      <c r="D344" s="166"/>
    </row>
    <row r="345" spans="4:4" x14ac:dyDescent="0.25">
      <c r="D345" s="166"/>
    </row>
    <row r="346" spans="4:4" x14ac:dyDescent="0.25">
      <c r="D346" s="166"/>
    </row>
    <row r="347" spans="4:4" x14ac:dyDescent="0.25">
      <c r="D347" s="166"/>
    </row>
    <row r="348" spans="4:4" x14ac:dyDescent="0.25">
      <c r="D348" s="166"/>
    </row>
    <row r="349" spans="4:4" x14ac:dyDescent="0.25">
      <c r="D349" s="166"/>
    </row>
    <row r="350" spans="4:4" x14ac:dyDescent="0.25">
      <c r="D350" s="166"/>
    </row>
    <row r="351" spans="4:4" x14ac:dyDescent="0.25">
      <c r="D351" s="166"/>
    </row>
    <row r="352" spans="4:4" x14ac:dyDescent="0.25">
      <c r="D352" s="166"/>
    </row>
    <row r="353" spans="4:4" x14ac:dyDescent="0.25">
      <c r="D353" s="166"/>
    </row>
    <row r="354" spans="4:4" x14ac:dyDescent="0.25">
      <c r="D354" s="166"/>
    </row>
    <row r="355" spans="4:4" x14ac:dyDescent="0.25">
      <c r="D355" s="166"/>
    </row>
    <row r="356" spans="4:4" x14ac:dyDescent="0.25">
      <c r="D356" s="166"/>
    </row>
    <row r="357" spans="4:4" x14ac:dyDescent="0.25">
      <c r="D357" s="166"/>
    </row>
    <row r="358" spans="4:4" x14ac:dyDescent="0.25">
      <c r="D358" s="166"/>
    </row>
    <row r="359" spans="4:4" x14ac:dyDescent="0.25">
      <c r="D359" s="166"/>
    </row>
    <row r="360" spans="4:4" x14ac:dyDescent="0.25">
      <c r="D360" s="166"/>
    </row>
    <row r="361" spans="4:4" x14ac:dyDescent="0.25">
      <c r="D361" s="166"/>
    </row>
    <row r="362" spans="4:4" x14ac:dyDescent="0.25">
      <c r="D362" s="166"/>
    </row>
    <row r="363" spans="4:4" x14ac:dyDescent="0.25">
      <c r="D363" s="166"/>
    </row>
    <row r="364" spans="4:4" x14ac:dyDescent="0.25">
      <c r="D364" s="166"/>
    </row>
    <row r="365" spans="4:4" x14ac:dyDescent="0.25">
      <c r="D365" s="166"/>
    </row>
    <row r="366" spans="4:4" x14ac:dyDescent="0.25">
      <c r="D366" s="166"/>
    </row>
    <row r="367" spans="4:4" x14ac:dyDescent="0.25">
      <c r="D367" s="166"/>
    </row>
    <row r="368" spans="4:4" x14ac:dyDescent="0.25">
      <c r="D368" s="166"/>
    </row>
    <row r="369" spans="4:4" x14ac:dyDescent="0.25">
      <c r="D369" s="166"/>
    </row>
    <row r="370" spans="4:4" x14ac:dyDescent="0.25">
      <c r="D370" s="166"/>
    </row>
    <row r="371" spans="4:4" x14ac:dyDescent="0.25">
      <c r="D371" s="166"/>
    </row>
    <row r="372" spans="4:4" x14ac:dyDescent="0.25">
      <c r="D372" s="166"/>
    </row>
    <row r="373" spans="4:4" x14ac:dyDescent="0.25">
      <c r="D373" s="166"/>
    </row>
    <row r="374" spans="4:4" x14ac:dyDescent="0.25">
      <c r="D374" s="166"/>
    </row>
    <row r="375" spans="4:4" x14ac:dyDescent="0.25">
      <c r="D375" s="166"/>
    </row>
    <row r="376" spans="4:4" x14ac:dyDescent="0.25">
      <c r="D376" s="166"/>
    </row>
    <row r="377" spans="4:4" x14ac:dyDescent="0.25">
      <c r="D377" s="166"/>
    </row>
    <row r="378" spans="4:4" x14ac:dyDescent="0.25">
      <c r="D378" s="166"/>
    </row>
    <row r="379" spans="4:4" x14ac:dyDescent="0.25">
      <c r="D379" s="166"/>
    </row>
    <row r="380" spans="4:4" x14ac:dyDescent="0.25">
      <c r="D380" s="166"/>
    </row>
    <row r="381" spans="4:4" x14ac:dyDescent="0.25">
      <c r="D381" s="166"/>
    </row>
    <row r="382" spans="4:4" x14ac:dyDescent="0.25">
      <c r="D382" s="166"/>
    </row>
    <row r="383" spans="4:4" x14ac:dyDescent="0.25">
      <c r="D383" s="166"/>
    </row>
    <row r="384" spans="4:4" x14ac:dyDescent="0.25">
      <c r="D384" s="166"/>
    </row>
    <row r="385" spans="4:4" x14ac:dyDescent="0.25">
      <c r="D385" s="166"/>
    </row>
    <row r="386" spans="4:4" x14ac:dyDescent="0.25">
      <c r="D386" s="166"/>
    </row>
    <row r="387" spans="4:4" x14ac:dyDescent="0.25">
      <c r="D387" s="166"/>
    </row>
    <row r="388" spans="4:4" x14ac:dyDescent="0.25">
      <c r="D388" s="166"/>
    </row>
    <row r="389" spans="4:4" x14ac:dyDescent="0.25">
      <c r="D389" s="166"/>
    </row>
    <row r="390" spans="4:4" x14ac:dyDescent="0.25">
      <c r="D390" s="166"/>
    </row>
    <row r="391" spans="4:4" x14ac:dyDescent="0.25">
      <c r="D391" s="166"/>
    </row>
    <row r="392" spans="4:4" x14ac:dyDescent="0.25">
      <c r="D392" s="166"/>
    </row>
    <row r="393" spans="4:4" x14ac:dyDescent="0.25">
      <c r="D393" s="166"/>
    </row>
    <row r="394" spans="4:4" x14ac:dyDescent="0.25">
      <c r="D394" s="166"/>
    </row>
    <row r="395" spans="4:4" x14ac:dyDescent="0.25">
      <c r="D395" s="166"/>
    </row>
    <row r="396" spans="4:4" x14ac:dyDescent="0.25">
      <c r="D396" s="166"/>
    </row>
    <row r="397" spans="4:4" x14ac:dyDescent="0.25">
      <c r="D397" s="166"/>
    </row>
    <row r="398" spans="4:4" x14ac:dyDescent="0.25">
      <c r="D398" s="166"/>
    </row>
    <row r="399" spans="4:4" x14ac:dyDescent="0.25">
      <c r="D399" s="166"/>
    </row>
    <row r="400" spans="4:4" x14ac:dyDescent="0.25">
      <c r="D400" s="166"/>
    </row>
    <row r="401" spans="4:4" x14ac:dyDescent="0.25">
      <c r="D401" s="166"/>
    </row>
    <row r="402" spans="4:4" x14ac:dyDescent="0.25">
      <c r="D402" s="166"/>
    </row>
    <row r="403" spans="4:4" x14ac:dyDescent="0.25">
      <c r="D403" s="166"/>
    </row>
    <row r="404" spans="4:4" x14ac:dyDescent="0.25">
      <c r="D404" s="166"/>
    </row>
    <row r="405" spans="4:4" x14ac:dyDescent="0.25">
      <c r="D405" s="166"/>
    </row>
    <row r="406" spans="4:4" x14ac:dyDescent="0.25">
      <c r="D406" s="166"/>
    </row>
    <row r="407" spans="4:4" x14ac:dyDescent="0.25">
      <c r="D407" s="166"/>
    </row>
    <row r="408" spans="4:4" x14ac:dyDescent="0.25">
      <c r="D408" s="166"/>
    </row>
    <row r="409" spans="4:4" x14ac:dyDescent="0.25">
      <c r="D409" s="166"/>
    </row>
    <row r="410" spans="4:4" x14ac:dyDescent="0.25">
      <c r="D410" s="166"/>
    </row>
    <row r="411" spans="4:4" x14ac:dyDescent="0.25">
      <c r="D411" s="166"/>
    </row>
    <row r="412" spans="4:4" x14ac:dyDescent="0.25">
      <c r="D412" s="166"/>
    </row>
    <row r="413" spans="4:4" x14ac:dyDescent="0.25">
      <c r="D413" s="166"/>
    </row>
    <row r="414" spans="4:4" x14ac:dyDescent="0.25">
      <c r="D414" s="166"/>
    </row>
    <row r="415" spans="4:4" x14ac:dyDescent="0.25">
      <c r="D415" s="166"/>
    </row>
    <row r="416" spans="4:4" x14ac:dyDescent="0.25">
      <c r="D416" s="166"/>
    </row>
    <row r="417" spans="4:4" x14ac:dyDescent="0.25">
      <c r="D417" s="166"/>
    </row>
    <row r="418" spans="4:4" x14ac:dyDescent="0.25">
      <c r="D418" s="166"/>
    </row>
    <row r="419" spans="4:4" x14ac:dyDescent="0.25">
      <c r="D419" s="166"/>
    </row>
    <row r="420" spans="4:4" x14ac:dyDescent="0.25">
      <c r="D420" s="166"/>
    </row>
    <row r="421" spans="4:4" x14ac:dyDescent="0.25">
      <c r="D421" s="166"/>
    </row>
    <row r="422" spans="4:4" x14ac:dyDescent="0.25">
      <c r="D422" s="166"/>
    </row>
    <row r="423" spans="4:4" x14ac:dyDescent="0.25">
      <c r="D423" s="166"/>
    </row>
    <row r="424" spans="4:4" x14ac:dyDescent="0.25">
      <c r="D424" s="166"/>
    </row>
    <row r="425" spans="4:4" x14ac:dyDescent="0.25">
      <c r="D425" s="166"/>
    </row>
    <row r="426" spans="4:4" x14ac:dyDescent="0.25">
      <c r="D426" s="166"/>
    </row>
    <row r="427" spans="4:4" x14ac:dyDescent="0.25">
      <c r="D427" s="166"/>
    </row>
    <row r="428" spans="4:4" x14ac:dyDescent="0.25">
      <c r="D428" s="166"/>
    </row>
    <row r="429" spans="4:4" x14ac:dyDescent="0.25">
      <c r="D429" s="166"/>
    </row>
    <row r="430" spans="4:4" x14ac:dyDescent="0.25">
      <c r="D430" s="166"/>
    </row>
    <row r="431" spans="4:4" x14ac:dyDescent="0.25">
      <c r="D431" s="166"/>
    </row>
    <row r="432" spans="4:4" x14ac:dyDescent="0.25">
      <c r="D432" s="166"/>
    </row>
    <row r="433" spans="4:4" x14ac:dyDescent="0.25">
      <c r="D433" s="166"/>
    </row>
    <row r="434" spans="4:4" x14ac:dyDescent="0.25">
      <c r="D434" s="166"/>
    </row>
    <row r="435" spans="4:4" x14ac:dyDescent="0.25">
      <c r="D435" s="166"/>
    </row>
    <row r="436" spans="4:4" x14ac:dyDescent="0.25">
      <c r="D436" s="166"/>
    </row>
    <row r="437" spans="4:4" x14ac:dyDescent="0.25">
      <c r="D437" s="166"/>
    </row>
    <row r="438" spans="4:4" x14ac:dyDescent="0.25">
      <c r="D438" s="166"/>
    </row>
    <row r="439" spans="4:4" x14ac:dyDescent="0.25">
      <c r="D439" s="166"/>
    </row>
    <row r="440" spans="4:4" x14ac:dyDescent="0.25">
      <c r="D440" s="166"/>
    </row>
    <row r="441" spans="4:4" x14ac:dyDescent="0.25">
      <c r="D441" s="166"/>
    </row>
    <row r="442" spans="4:4" x14ac:dyDescent="0.25">
      <c r="D442" s="166"/>
    </row>
    <row r="443" spans="4:4" x14ac:dyDescent="0.25">
      <c r="D443" s="166"/>
    </row>
    <row r="444" spans="4:4" x14ac:dyDescent="0.25">
      <c r="D444" s="166"/>
    </row>
    <row r="445" spans="4:4" x14ac:dyDescent="0.25">
      <c r="D445" s="166"/>
    </row>
    <row r="446" spans="4:4" x14ac:dyDescent="0.25">
      <c r="D446" s="166"/>
    </row>
    <row r="447" spans="4:4" x14ac:dyDescent="0.25">
      <c r="D447" s="166"/>
    </row>
    <row r="448" spans="4:4" x14ac:dyDescent="0.25">
      <c r="D448" s="166"/>
    </row>
    <row r="449" spans="4:4" x14ac:dyDescent="0.25">
      <c r="D449" s="166"/>
    </row>
    <row r="450" spans="4:4" x14ac:dyDescent="0.25">
      <c r="D450" s="166"/>
    </row>
    <row r="451" spans="4:4" x14ac:dyDescent="0.25">
      <c r="D451" s="166"/>
    </row>
    <row r="452" spans="4:4" x14ac:dyDescent="0.25">
      <c r="D452" s="166"/>
    </row>
    <row r="453" spans="4:4" x14ac:dyDescent="0.25">
      <c r="D453" s="166"/>
    </row>
    <row r="454" spans="4:4" x14ac:dyDescent="0.25">
      <c r="D454" s="166"/>
    </row>
    <row r="455" spans="4:4" x14ac:dyDescent="0.25">
      <c r="D455" s="166"/>
    </row>
    <row r="456" spans="4:4" x14ac:dyDescent="0.25">
      <c r="D456" s="166"/>
    </row>
    <row r="457" spans="4:4" x14ac:dyDescent="0.25">
      <c r="D457" s="166"/>
    </row>
    <row r="458" spans="4:4" x14ac:dyDescent="0.25">
      <c r="D458" s="166"/>
    </row>
    <row r="459" spans="4:4" x14ac:dyDescent="0.25">
      <c r="D459" s="166"/>
    </row>
    <row r="460" spans="4:4" x14ac:dyDescent="0.25">
      <c r="D460" s="166"/>
    </row>
    <row r="461" spans="4:4" x14ac:dyDescent="0.25">
      <c r="D461" s="166"/>
    </row>
    <row r="462" spans="4:4" x14ac:dyDescent="0.25">
      <c r="D462" s="166"/>
    </row>
    <row r="463" spans="4:4" x14ac:dyDescent="0.25">
      <c r="D463" s="166"/>
    </row>
    <row r="464" spans="4:4" x14ac:dyDescent="0.25">
      <c r="D464" s="166"/>
    </row>
    <row r="465" spans="4:4" x14ac:dyDescent="0.25">
      <c r="D465" s="166"/>
    </row>
    <row r="466" spans="4:4" x14ac:dyDescent="0.25">
      <c r="D466" s="166"/>
    </row>
    <row r="467" spans="4:4" x14ac:dyDescent="0.25">
      <c r="D467" s="166"/>
    </row>
    <row r="468" spans="4:4" x14ac:dyDescent="0.25">
      <c r="D468" s="166"/>
    </row>
    <row r="469" spans="4:4" x14ac:dyDescent="0.25">
      <c r="D469" s="166"/>
    </row>
    <row r="470" spans="4:4" x14ac:dyDescent="0.25">
      <c r="D470" s="166"/>
    </row>
    <row r="471" spans="4:4" x14ac:dyDescent="0.25">
      <c r="D471" s="166"/>
    </row>
    <row r="472" spans="4:4" x14ac:dyDescent="0.25">
      <c r="D472" s="166"/>
    </row>
    <row r="473" spans="4:4" x14ac:dyDescent="0.25">
      <c r="D473" s="166"/>
    </row>
    <row r="474" spans="4:4" x14ac:dyDescent="0.25">
      <c r="D474" s="166"/>
    </row>
    <row r="475" spans="4:4" x14ac:dyDescent="0.25">
      <c r="D475" s="166"/>
    </row>
    <row r="476" spans="4:4" x14ac:dyDescent="0.25">
      <c r="D476" s="166"/>
    </row>
    <row r="477" spans="4:4" x14ac:dyDescent="0.25">
      <c r="D477" s="166"/>
    </row>
    <row r="478" spans="4:4" x14ac:dyDescent="0.25">
      <c r="D478" s="166"/>
    </row>
    <row r="479" spans="4:4" x14ac:dyDescent="0.25">
      <c r="D479" s="166"/>
    </row>
    <row r="480" spans="4:4" x14ac:dyDescent="0.25">
      <c r="D480" s="166"/>
    </row>
    <row r="481" spans="4:4" x14ac:dyDescent="0.25">
      <c r="D481" s="166"/>
    </row>
    <row r="482" spans="4:4" x14ac:dyDescent="0.25">
      <c r="D482" s="166"/>
    </row>
    <row r="483" spans="4:4" x14ac:dyDescent="0.25">
      <c r="D483" s="166"/>
    </row>
    <row r="484" spans="4:4" x14ac:dyDescent="0.25">
      <c r="D484" s="166"/>
    </row>
    <row r="485" spans="4:4" x14ac:dyDescent="0.25">
      <c r="D485" s="166"/>
    </row>
    <row r="486" spans="4:4" x14ac:dyDescent="0.25">
      <c r="D486" s="166"/>
    </row>
    <row r="487" spans="4:4" x14ac:dyDescent="0.25">
      <c r="D487" s="166"/>
    </row>
    <row r="488" spans="4:4" x14ac:dyDescent="0.25">
      <c r="D488" s="166"/>
    </row>
    <row r="489" spans="4:4" x14ac:dyDescent="0.25">
      <c r="D489" s="166"/>
    </row>
    <row r="490" spans="4:4" x14ac:dyDescent="0.25">
      <c r="D490" s="166"/>
    </row>
    <row r="491" spans="4:4" x14ac:dyDescent="0.25">
      <c r="D491" s="166"/>
    </row>
    <row r="492" spans="4:4" x14ac:dyDescent="0.25">
      <c r="D492" s="166"/>
    </row>
    <row r="493" spans="4:4" x14ac:dyDescent="0.25">
      <c r="D493" s="166"/>
    </row>
    <row r="494" spans="4:4" x14ac:dyDescent="0.25">
      <c r="D494" s="166"/>
    </row>
    <row r="495" spans="4:4" x14ac:dyDescent="0.25">
      <c r="D495" s="166"/>
    </row>
    <row r="496" spans="4:4" x14ac:dyDescent="0.25">
      <c r="D496" s="166"/>
    </row>
    <row r="497" spans="4:4" x14ac:dyDescent="0.25">
      <c r="D497" s="166"/>
    </row>
    <row r="498" spans="4:4" x14ac:dyDescent="0.25">
      <c r="D498" s="166"/>
    </row>
    <row r="499" spans="4:4" x14ac:dyDescent="0.25">
      <c r="D499" s="166"/>
    </row>
    <row r="500" spans="4:4" x14ac:dyDescent="0.25">
      <c r="D500" s="166"/>
    </row>
    <row r="501" spans="4:4" x14ac:dyDescent="0.25">
      <c r="D501" s="166"/>
    </row>
    <row r="502" spans="4:4" x14ac:dyDescent="0.25">
      <c r="D502" s="166"/>
    </row>
    <row r="503" spans="4:4" x14ac:dyDescent="0.25">
      <c r="D503" s="166"/>
    </row>
    <row r="504" spans="4:4" x14ac:dyDescent="0.25">
      <c r="D504" s="166"/>
    </row>
    <row r="505" spans="4:4" x14ac:dyDescent="0.25">
      <c r="D505" s="166"/>
    </row>
    <row r="506" spans="4:4" x14ac:dyDescent="0.25">
      <c r="D506" s="166"/>
    </row>
    <row r="507" spans="4:4" x14ac:dyDescent="0.25">
      <c r="D507" s="166"/>
    </row>
    <row r="508" spans="4:4" x14ac:dyDescent="0.25">
      <c r="D508" s="166"/>
    </row>
    <row r="509" spans="4:4" x14ac:dyDescent="0.25">
      <c r="D509" s="166"/>
    </row>
    <row r="510" spans="4:4" x14ac:dyDescent="0.25">
      <c r="D510" s="166"/>
    </row>
    <row r="511" spans="4:4" x14ac:dyDescent="0.25">
      <c r="D511" s="166"/>
    </row>
    <row r="512" spans="4:4" x14ac:dyDescent="0.25">
      <c r="D512" s="166"/>
    </row>
    <row r="513" spans="4:4" x14ac:dyDescent="0.25">
      <c r="D513" s="166"/>
    </row>
    <row r="514" spans="4:4" x14ac:dyDescent="0.25">
      <c r="D514" s="166"/>
    </row>
    <row r="515" spans="4:4" x14ac:dyDescent="0.25">
      <c r="D515" s="166"/>
    </row>
    <row r="516" spans="4:4" x14ac:dyDescent="0.25">
      <c r="D516" s="166"/>
    </row>
    <row r="517" spans="4:4" x14ac:dyDescent="0.25">
      <c r="D517" s="166"/>
    </row>
    <row r="518" spans="4:4" x14ac:dyDescent="0.25">
      <c r="D518" s="166"/>
    </row>
    <row r="519" spans="4:4" x14ac:dyDescent="0.25">
      <c r="D519" s="166"/>
    </row>
    <row r="520" spans="4:4" x14ac:dyDescent="0.25">
      <c r="D520" s="166"/>
    </row>
    <row r="521" spans="4:4" x14ac:dyDescent="0.25">
      <c r="D521" s="166"/>
    </row>
    <row r="522" spans="4:4" x14ac:dyDescent="0.25">
      <c r="D522" s="166"/>
    </row>
    <row r="523" spans="4:4" x14ac:dyDescent="0.25">
      <c r="D523" s="166"/>
    </row>
    <row r="524" spans="4:4" x14ac:dyDescent="0.25">
      <c r="D524" s="166"/>
    </row>
    <row r="525" spans="4:4" x14ac:dyDescent="0.25">
      <c r="D525" s="166"/>
    </row>
    <row r="526" spans="4:4" x14ac:dyDescent="0.25">
      <c r="D526" s="166"/>
    </row>
    <row r="527" spans="4:4" x14ac:dyDescent="0.25">
      <c r="D527" s="166"/>
    </row>
    <row r="528" spans="4:4" x14ac:dyDescent="0.25">
      <c r="D528" s="166"/>
    </row>
    <row r="529" spans="4:4" x14ac:dyDescent="0.25">
      <c r="D529" s="166"/>
    </row>
    <row r="530" spans="4:4" x14ac:dyDescent="0.25">
      <c r="D530" s="166"/>
    </row>
    <row r="531" spans="4:4" x14ac:dyDescent="0.25">
      <c r="D531" s="166"/>
    </row>
    <row r="532" spans="4:4" x14ac:dyDescent="0.25">
      <c r="D532" s="166"/>
    </row>
    <row r="533" spans="4:4" x14ac:dyDescent="0.25">
      <c r="D533" s="166"/>
    </row>
    <row r="534" spans="4:4" x14ac:dyDescent="0.25">
      <c r="D534" s="166"/>
    </row>
    <row r="535" spans="4:4" x14ac:dyDescent="0.25">
      <c r="D535" s="166"/>
    </row>
    <row r="536" spans="4:4" x14ac:dyDescent="0.25">
      <c r="D536" s="166"/>
    </row>
    <row r="537" spans="4:4" x14ac:dyDescent="0.25">
      <c r="D537" s="166"/>
    </row>
    <row r="538" spans="4:4" x14ac:dyDescent="0.25">
      <c r="D538" s="166"/>
    </row>
    <row r="539" spans="4:4" x14ac:dyDescent="0.25">
      <c r="D539" s="166"/>
    </row>
    <row r="540" spans="4:4" x14ac:dyDescent="0.25">
      <c r="D540" s="166"/>
    </row>
    <row r="541" spans="4:4" x14ac:dyDescent="0.25">
      <c r="D541" s="166"/>
    </row>
    <row r="542" spans="4:4" x14ac:dyDescent="0.25">
      <c r="D542" s="166"/>
    </row>
    <row r="543" spans="4:4" x14ac:dyDescent="0.25">
      <c r="D543" s="166"/>
    </row>
    <row r="544" spans="4:4" x14ac:dyDescent="0.25">
      <c r="D544" s="166"/>
    </row>
    <row r="545" spans="4:4" x14ac:dyDescent="0.25">
      <c r="D545" s="166"/>
    </row>
    <row r="546" spans="4:4" x14ac:dyDescent="0.25">
      <c r="D546" s="166"/>
    </row>
    <row r="547" spans="4:4" x14ac:dyDescent="0.25">
      <c r="D547" s="166"/>
    </row>
    <row r="548" spans="4:4" x14ac:dyDescent="0.25">
      <c r="D548" s="166"/>
    </row>
    <row r="549" spans="4:4" x14ac:dyDescent="0.25">
      <c r="D549" s="166"/>
    </row>
    <row r="550" spans="4:4" x14ac:dyDescent="0.25">
      <c r="D550" s="166"/>
    </row>
    <row r="551" spans="4:4" x14ac:dyDescent="0.25">
      <c r="D551" s="166"/>
    </row>
    <row r="552" spans="4:4" x14ac:dyDescent="0.25">
      <c r="D552" s="166"/>
    </row>
    <row r="553" spans="4:4" x14ac:dyDescent="0.25">
      <c r="D553" s="166"/>
    </row>
    <row r="554" spans="4:4" x14ac:dyDescent="0.25">
      <c r="D554" s="166"/>
    </row>
    <row r="555" spans="4:4" x14ac:dyDescent="0.25">
      <c r="D555" s="166"/>
    </row>
    <row r="556" spans="4:4" x14ac:dyDescent="0.25">
      <c r="D556" s="166"/>
    </row>
    <row r="557" spans="4:4" x14ac:dyDescent="0.25">
      <c r="D557" s="166"/>
    </row>
    <row r="558" spans="4:4" x14ac:dyDescent="0.25">
      <c r="D558" s="166"/>
    </row>
    <row r="559" spans="4:4" x14ac:dyDescent="0.25">
      <c r="D559" s="166"/>
    </row>
    <row r="560" spans="4:4" x14ac:dyDescent="0.25">
      <c r="D560" s="166"/>
    </row>
    <row r="561" spans="4:4" x14ac:dyDescent="0.25">
      <c r="D561" s="166"/>
    </row>
    <row r="562" spans="4:4" x14ac:dyDescent="0.25">
      <c r="D562" s="166"/>
    </row>
    <row r="563" spans="4:4" x14ac:dyDescent="0.25">
      <c r="D563" s="166"/>
    </row>
    <row r="564" spans="4:4" x14ac:dyDescent="0.25">
      <c r="D564" s="166"/>
    </row>
    <row r="565" spans="4:4" x14ac:dyDescent="0.25">
      <c r="D565" s="166"/>
    </row>
    <row r="566" spans="4:4" x14ac:dyDescent="0.25">
      <c r="D566" s="166"/>
    </row>
    <row r="567" spans="4:4" x14ac:dyDescent="0.25">
      <c r="D567" s="166"/>
    </row>
    <row r="568" spans="4:4" x14ac:dyDescent="0.25">
      <c r="D568" s="166"/>
    </row>
    <row r="569" spans="4:4" x14ac:dyDescent="0.25">
      <c r="D569" s="166"/>
    </row>
    <row r="570" spans="4:4" x14ac:dyDescent="0.25">
      <c r="D570" s="166"/>
    </row>
    <row r="571" spans="4:4" x14ac:dyDescent="0.25">
      <c r="D571" s="166"/>
    </row>
    <row r="572" spans="4:4" x14ac:dyDescent="0.25">
      <c r="D572" s="166"/>
    </row>
    <row r="573" spans="4:4" x14ac:dyDescent="0.25">
      <c r="D573" s="166"/>
    </row>
    <row r="574" spans="4:4" x14ac:dyDescent="0.25">
      <c r="D574" s="166"/>
    </row>
    <row r="575" spans="4:4" x14ac:dyDescent="0.25">
      <c r="D575" s="166"/>
    </row>
    <row r="576" spans="4:4" x14ac:dyDescent="0.25">
      <c r="D576" s="166"/>
    </row>
    <row r="577" spans="4:4" x14ac:dyDescent="0.25">
      <c r="D577" s="166"/>
    </row>
    <row r="578" spans="4:4" x14ac:dyDescent="0.25">
      <c r="D578" s="166"/>
    </row>
    <row r="579" spans="4:4" x14ac:dyDescent="0.25">
      <c r="D579" s="166"/>
    </row>
    <row r="580" spans="4:4" x14ac:dyDescent="0.25">
      <c r="D580" s="166"/>
    </row>
    <row r="581" spans="4:4" x14ac:dyDescent="0.25">
      <c r="D581" s="166"/>
    </row>
    <row r="582" spans="4:4" x14ac:dyDescent="0.25">
      <c r="D582" s="166"/>
    </row>
    <row r="583" spans="4:4" x14ac:dyDescent="0.25">
      <c r="D583" s="166"/>
    </row>
    <row r="584" spans="4:4" x14ac:dyDescent="0.25">
      <c r="D584" s="166"/>
    </row>
    <row r="585" spans="4:4" x14ac:dyDescent="0.25">
      <c r="D585" s="166"/>
    </row>
    <row r="586" spans="4:4" x14ac:dyDescent="0.25">
      <c r="D586" s="166"/>
    </row>
    <row r="587" spans="4:4" x14ac:dyDescent="0.25">
      <c r="D587" s="166"/>
    </row>
    <row r="588" spans="4:4" x14ac:dyDescent="0.25">
      <c r="D588" s="166"/>
    </row>
    <row r="589" spans="4:4" x14ac:dyDescent="0.25">
      <c r="D589" s="166"/>
    </row>
    <row r="590" spans="4:4" x14ac:dyDescent="0.25">
      <c r="D590" s="166"/>
    </row>
    <row r="591" spans="4:4" x14ac:dyDescent="0.25">
      <c r="D591" s="166"/>
    </row>
    <row r="592" spans="4:4" x14ac:dyDescent="0.25">
      <c r="D592" s="166"/>
    </row>
    <row r="593" spans="4:4" x14ac:dyDescent="0.25">
      <c r="D593" s="166"/>
    </row>
    <row r="594" spans="4:4" x14ac:dyDescent="0.25">
      <c r="D594" s="166"/>
    </row>
    <row r="595" spans="4:4" x14ac:dyDescent="0.25">
      <c r="D595" s="166"/>
    </row>
    <row r="596" spans="4:4" x14ac:dyDescent="0.25">
      <c r="D596" s="166"/>
    </row>
    <row r="597" spans="4:4" x14ac:dyDescent="0.25">
      <c r="D597" s="166"/>
    </row>
    <row r="598" spans="4:4" x14ac:dyDescent="0.25">
      <c r="D598" s="166"/>
    </row>
    <row r="599" spans="4:4" x14ac:dyDescent="0.25">
      <c r="D599" s="166"/>
    </row>
    <row r="600" spans="4:4" x14ac:dyDescent="0.25">
      <c r="D600" s="166"/>
    </row>
    <row r="601" spans="4:4" x14ac:dyDescent="0.25">
      <c r="D601" s="166"/>
    </row>
    <row r="602" spans="4:4" x14ac:dyDescent="0.25">
      <c r="D602" s="166"/>
    </row>
    <row r="603" spans="4:4" x14ac:dyDescent="0.25">
      <c r="D603" s="166"/>
    </row>
    <row r="604" spans="4:4" x14ac:dyDescent="0.25">
      <c r="D604" s="166"/>
    </row>
    <row r="605" spans="4:4" x14ac:dyDescent="0.25">
      <c r="D605" s="166"/>
    </row>
    <row r="606" spans="4:4" x14ac:dyDescent="0.25">
      <c r="D606" s="166"/>
    </row>
    <row r="607" spans="4:4" x14ac:dyDescent="0.25">
      <c r="D607" s="166"/>
    </row>
    <row r="608" spans="4:4" x14ac:dyDescent="0.25">
      <c r="D608" s="166"/>
    </row>
    <row r="609" spans="4:4" x14ac:dyDescent="0.25">
      <c r="D609" s="166"/>
    </row>
    <row r="610" spans="4:4" x14ac:dyDescent="0.25">
      <c r="D610" s="166"/>
    </row>
    <row r="611" spans="4:4" x14ac:dyDescent="0.25">
      <c r="D611" s="166"/>
    </row>
    <row r="612" spans="4:4" x14ac:dyDescent="0.25">
      <c r="D612" s="166"/>
    </row>
    <row r="613" spans="4:4" x14ac:dyDescent="0.25">
      <c r="D613" s="166"/>
    </row>
    <row r="614" spans="4:4" x14ac:dyDescent="0.25">
      <c r="D614" s="166"/>
    </row>
    <row r="615" spans="4:4" x14ac:dyDescent="0.25">
      <c r="D615" s="166"/>
    </row>
    <row r="616" spans="4:4" x14ac:dyDescent="0.25">
      <c r="D616" s="166"/>
    </row>
    <row r="617" spans="4:4" x14ac:dyDescent="0.25">
      <c r="D617" s="166"/>
    </row>
    <row r="618" spans="4:4" x14ac:dyDescent="0.25">
      <c r="D618" s="166"/>
    </row>
    <row r="619" spans="4:4" x14ac:dyDescent="0.25">
      <c r="D619" s="166"/>
    </row>
    <row r="620" spans="4:4" x14ac:dyDescent="0.25">
      <c r="D620" s="166"/>
    </row>
    <row r="621" spans="4:4" x14ac:dyDescent="0.25">
      <c r="D621" s="166"/>
    </row>
    <row r="622" spans="4:4" x14ac:dyDescent="0.25">
      <c r="D622" s="166"/>
    </row>
    <row r="623" spans="4:4" x14ac:dyDescent="0.25">
      <c r="D623" s="166"/>
    </row>
    <row r="624" spans="4:4" x14ac:dyDescent="0.25">
      <c r="D624" s="166"/>
    </row>
    <row r="625" spans="4:4" x14ac:dyDescent="0.25">
      <c r="D625" s="166"/>
    </row>
    <row r="626" spans="4:4" x14ac:dyDescent="0.25">
      <c r="D626" s="166"/>
    </row>
    <row r="627" spans="4:4" x14ac:dyDescent="0.25">
      <c r="D627" s="166"/>
    </row>
    <row r="628" spans="4:4" x14ac:dyDescent="0.25">
      <c r="D628" s="166"/>
    </row>
    <row r="629" spans="4:4" x14ac:dyDescent="0.25">
      <c r="D629" s="166"/>
    </row>
    <row r="630" spans="4:4" x14ac:dyDescent="0.25">
      <c r="D630" s="166"/>
    </row>
    <row r="631" spans="4:4" x14ac:dyDescent="0.25">
      <c r="D631" s="166"/>
    </row>
    <row r="632" spans="4:4" x14ac:dyDescent="0.25">
      <c r="D632" s="166"/>
    </row>
    <row r="633" spans="4:4" x14ac:dyDescent="0.25">
      <c r="D633" s="166"/>
    </row>
    <row r="634" spans="4:4" x14ac:dyDescent="0.25">
      <c r="D634" s="166"/>
    </row>
    <row r="635" spans="4:4" x14ac:dyDescent="0.25">
      <c r="D635" s="166"/>
    </row>
    <row r="636" spans="4:4" x14ac:dyDescent="0.25">
      <c r="D636" s="166"/>
    </row>
    <row r="637" spans="4:4" x14ac:dyDescent="0.25">
      <c r="D637" s="166"/>
    </row>
    <row r="638" spans="4:4" x14ac:dyDescent="0.25">
      <c r="D638" s="166"/>
    </row>
    <row r="639" spans="4:4" x14ac:dyDescent="0.25">
      <c r="D639" s="166"/>
    </row>
    <row r="640" spans="4:4" x14ac:dyDescent="0.25">
      <c r="D640" s="166"/>
    </row>
    <row r="641" spans="4:4" x14ac:dyDescent="0.25">
      <c r="D641" s="166"/>
    </row>
    <row r="642" spans="4:4" x14ac:dyDescent="0.25">
      <c r="D642" s="166"/>
    </row>
    <row r="643" spans="4:4" x14ac:dyDescent="0.25">
      <c r="D643" s="166"/>
    </row>
    <row r="644" spans="4:4" x14ac:dyDescent="0.25">
      <c r="D644" s="166"/>
    </row>
    <row r="645" spans="4:4" x14ac:dyDescent="0.25">
      <c r="D645" s="166"/>
    </row>
    <row r="646" spans="4:4" x14ac:dyDescent="0.25">
      <c r="D646" s="166"/>
    </row>
    <row r="647" spans="4:4" x14ac:dyDescent="0.25">
      <c r="D647" s="166"/>
    </row>
    <row r="648" spans="4:4" x14ac:dyDescent="0.25">
      <c r="D648" s="166"/>
    </row>
    <row r="649" spans="4:4" x14ac:dyDescent="0.25">
      <c r="D649" s="166"/>
    </row>
    <row r="650" spans="4:4" x14ac:dyDescent="0.25">
      <c r="D650" s="166"/>
    </row>
    <row r="651" spans="4:4" x14ac:dyDescent="0.25">
      <c r="D651" s="166"/>
    </row>
    <row r="652" spans="4:4" x14ac:dyDescent="0.25">
      <c r="D652" s="166"/>
    </row>
    <row r="653" spans="4:4" x14ac:dyDescent="0.25">
      <c r="D653" s="166"/>
    </row>
    <row r="654" spans="4:4" x14ac:dyDescent="0.25">
      <c r="D654" s="166"/>
    </row>
    <row r="655" spans="4:4" x14ac:dyDescent="0.25">
      <c r="D655" s="166"/>
    </row>
    <row r="656" spans="4:4" x14ac:dyDescent="0.25">
      <c r="D656" s="166"/>
    </row>
    <row r="657" spans="4:4" x14ac:dyDescent="0.25">
      <c r="D657" s="166"/>
    </row>
    <row r="658" spans="4:4" x14ac:dyDescent="0.25">
      <c r="D658" s="166"/>
    </row>
    <row r="659" spans="4:4" x14ac:dyDescent="0.25">
      <c r="D659" s="166"/>
    </row>
    <row r="660" spans="4:4" x14ac:dyDescent="0.25">
      <c r="D660" s="166"/>
    </row>
    <row r="661" spans="4:4" x14ac:dyDescent="0.25">
      <c r="D661" s="166"/>
    </row>
    <row r="662" spans="4:4" x14ac:dyDescent="0.25">
      <c r="D662" s="166"/>
    </row>
    <row r="663" spans="4:4" x14ac:dyDescent="0.25">
      <c r="D663" s="166"/>
    </row>
    <row r="664" spans="4:4" x14ac:dyDescent="0.25">
      <c r="D664" s="166"/>
    </row>
    <row r="665" spans="4:4" x14ac:dyDescent="0.25">
      <c r="D665" s="166"/>
    </row>
    <row r="666" spans="4:4" x14ac:dyDescent="0.25">
      <c r="D666" s="166"/>
    </row>
    <row r="667" spans="4:4" x14ac:dyDescent="0.25">
      <c r="D667" s="166"/>
    </row>
    <row r="668" spans="4:4" x14ac:dyDescent="0.25">
      <c r="D668" s="166"/>
    </row>
    <row r="669" spans="4:4" x14ac:dyDescent="0.25">
      <c r="D669" s="166"/>
    </row>
    <row r="670" spans="4:4" x14ac:dyDescent="0.25">
      <c r="D670" s="166"/>
    </row>
    <row r="671" spans="4:4" x14ac:dyDescent="0.25">
      <c r="D671" s="166"/>
    </row>
    <row r="672" spans="4:4" x14ac:dyDescent="0.25">
      <c r="D672" s="166"/>
    </row>
    <row r="673" spans="4:4" x14ac:dyDescent="0.25">
      <c r="D673" s="166"/>
    </row>
    <row r="674" spans="4:4" x14ac:dyDescent="0.25">
      <c r="D674" s="166"/>
    </row>
    <row r="675" spans="4:4" x14ac:dyDescent="0.25">
      <c r="D675" s="166"/>
    </row>
    <row r="676" spans="4:4" x14ac:dyDescent="0.25">
      <c r="D676" s="166"/>
    </row>
    <row r="677" spans="4:4" x14ac:dyDescent="0.25">
      <c r="D677" s="166"/>
    </row>
    <row r="678" spans="4:4" x14ac:dyDescent="0.25">
      <c r="D678" s="166"/>
    </row>
    <row r="679" spans="4:4" x14ac:dyDescent="0.25">
      <c r="D679" s="166"/>
    </row>
    <row r="680" spans="4:4" x14ac:dyDescent="0.25">
      <c r="D680" s="166"/>
    </row>
    <row r="681" spans="4:4" x14ac:dyDescent="0.25">
      <c r="D681" s="166"/>
    </row>
    <row r="682" spans="4:4" x14ac:dyDescent="0.25">
      <c r="D682" s="166"/>
    </row>
    <row r="683" spans="4:4" x14ac:dyDescent="0.25">
      <c r="D683" s="166"/>
    </row>
    <row r="684" spans="4:4" x14ac:dyDescent="0.25">
      <c r="D684" s="166"/>
    </row>
    <row r="685" spans="4:4" x14ac:dyDescent="0.25">
      <c r="D685" s="166"/>
    </row>
    <row r="686" spans="4:4" x14ac:dyDescent="0.25">
      <c r="D686" s="166"/>
    </row>
    <row r="687" spans="4:4" x14ac:dyDescent="0.25">
      <c r="D687" s="166"/>
    </row>
    <row r="688" spans="4:4" x14ac:dyDescent="0.25">
      <c r="D688" s="166"/>
    </row>
    <row r="689" spans="4:4" x14ac:dyDescent="0.25">
      <c r="D689" s="166"/>
    </row>
    <row r="690" spans="4:4" x14ac:dyDescent="0.25">
      <c r="D690" s="166"/>
    </row>
    <row r="691" spans="4:4" x14ac:dyDescent="0.25">
      <c r="D691" s="166"/>
    </row>
    <row r="692" spans="4:4" x14ac:dyDescent="0.25">
      <c r="D692" s="166"/>
    </row>
    <row r="693" spans="4:4" x14ac:dyDescent="0.25">
      <c r="D693" s="166"/>
    </row>
    <row r="694" spans="4:4" x14ac:dyDescent="0.25">
      <c r="D694" s="166"/>
    </row>
    <row r="695" spans="4:4" x14ac:dyDescent="0.25">
      <c r="D695" s="166"/>
    </row>
    <row r="696" spans="4:4" x14ac:dyDescent="0.25">
      <c r="D696" s="166"/>
    </row>
    <row r="697" spans="4:4" x14ac:dyDescent="0.25">
      <c r="D697" s="166"/>
    </row>
    <row r="698" spans="4:4" x14ac:dyDescent="0.25">
      <c r="D698" s="166"/>
    </row>
    <row r="699" spans="4:4" x14ac:dyDescent="0.25">
      <c r="D699" s="166"/>
    </row>
    <row r="700" spans="4:4" x14ac:dyDescent="0.25">
      <c r="D700" s="166"/>
    </row>
    <row r="701" spans="4:4" x14ac:dyDescent="0.25">
      <c r="D701" s="166"/>
    </row>
    <row r="702" spans="4:4" x14ac:dyDescent="0.25">
      <c r="D702" s="166"/>
    </row>
    <row r="703" spans="4:4" x14ac:dyDescent="0.25">
      <c r="D703" s="166"/>
    </row>
    <row r="704" spans="4:4" x14ac:dyDescent="0.25">
      <c r="D704" s="166"/>
    </row>
    <row r="705" spans="4:4" x14ac:dyDescent="0.25">
      <c r="D705" s="166"/>
    </row>
    <row r="706" spans="4:4" x14ac:dyDescent="0.25">
      <c r="D706" s="166"/>
    </row>
    <row r="707" spans="4:4" x14ac:dyDescent="0.25">
      <c r="D707" s="166"/>
    </row>
    <row r="708" spans="4:4" x14ac:dyDescent="0.25">
      <c r="D708" s="166"/>
    </row>
    <row r="709" spans="4:4" x14ac:dyDescent="0.25">
      <c r="D709" s="166"/>
    </row>
    <row r="710" spans="4:4" x14ac:dyDescent="0.25">
      <c r="D710" s="166"/>
    </row>
    <row r="711" spans="4:4" x14ac:dyDescent="0.25">
      <c r="D711" s="166"/>
    </row>
    <row r="712" spans="4:4" x14ac:dyDescent="0.25">
      <c r="D712" s="166"/>
    </row>
    <row r="713" spans="4:4" x14ac:dyDescent="0.25">
      <c r="D713" s="166"/>
    </row>
    <row r="714" spans="4:4" x14ac:dyDescent="0.25">
      <c r="D714" s="166"/>
    </row>
    <row r="715" spans="4:4" x14ac:dyDescent="0.25">
      <c r="D715" s="166"/>
    </row>
    <row r="716" spans="4:4" x14ac:dyDescent="0.25">
      <c r="D716" s="166"/>
    </row>
    <row r="717" spans="4:4" x14ac:dyDescent="0.25">
      <c r="D717" s="166"/>
    </row>
    <row r="718" spans="4:4" x14ac:dyDescent="0.25">
      <c r="D718" s="166"/>
    </row>
    <row r="719" spans="4:4" x14ac:dyDescent="0.25">
      <c r="D719" s="166"/>
    </row>
    <row r="720" spans="4:4" x14ac:dyDescent="0.25">
      <c r="D720" s="166"/>
    </row>
    <row r="721" spans="4:4" x14ac:dyDescent="0.25">
      <c r="D721" s="166"/>
    </row>
    <row r="722" spans="4:4" x14ac:dyDescent="0.25">
      <c r="D722" s="166"/>
    </row>
    <row r="723" spans="4:4" x14ac:dyDescent="0.25">
      <c r="D723" s="166"/>
    </row>
    <row r="724" spans="4:4" x14ac:dyDescent="0.25">
      <c r="D724" s="166"/>
    </row>
    <row r="725" spans="4:4" x14ac:dyDescent="0.25">
      <c r="D725" s="166"/>
    </row>
    <row r="726" spans="4:4" x14ac:dyDescent="0.25">
      <c r="D726" s="166"/>
    </row>
    <row r="727" spans="4:4" x14ac:dyDescent="0.25">
      <c r="D727" s="166"/>
    </row>
    <row r="728" spans="4:4" x14ac:dyDescent="0.25">
      <c r="D728" s="166"/>
    </row>
    <row r="729" spans="4:4" x14ac:dyDescent="0.25">
      <c r="D729" s="166"/>
    </row>
    <row r="730" spans="4:4" x14ac:dyDescent="0.25">
      <c r="D730" s="166"/>
    </row>
    <row r="731" spans="4:4" x14ac:dyDescent="0.25">
      <c r="D731" s="166"/>
    </row>
    <row r="732" spans="4:4" x14ac:dyDescent="0.25">
      <c r="D732" s="166"/>
    </row>
    <row r="733" spans="4:4" x14ac:dyDescent="0.25">
      <c r="D733" s="166"/>
    </row>
    <row r="734" spans="4:4" x14ac:dyDescent="0.25">
      <c r="D734" s="166"/>
    </row>
    <row r="735" spans="4:4" x14ac:dyDescent="0.25">
      <c r="D735" s="166"/>
    </row>
    <row r="736" spans="4:4" x14ac:dyDescent="0.25">
      <c r="D736" s="166"/>
    </row>
    <row r="737" spans="4:4" x14ac:dyDescent="0.25">
      <c r="D737" s="166"/>
    </row>
    <row r="738" spans="4:4" x14ac:dyDescent="0.25">
      <c r="D738" s="166"/>
    </row>
    <row r="739" spans="4:4" x14ac:dyDescent="0.25">
      <c r="D739" s="166"/>
    </row>
    <row r="740" spans="4:4" x14ac:dyDescent="0.25">
      <c r="D740" s="166"/>
    </row>
    <row r="741" spans="4:4" x14ac:dyDescent="0.25">
      <c r="D741" s="166"/>
    </row>
    <row r="742" spans="4:4" x14ac:dyDescent="0.25">
      <c r="D742" s="166"/>
    </row>
    <row r="743" spans="4:4" x14ac:dyDescent="0.25">
      <c r="D743" s="166"/>
    </row>
    <row r="744" spans="4:4" x14ac:dyDescent="0.25">
      <c r="D744" s="166"/>
    </row>
    <row r="745" spans="4:4" x14ac:dyDescent="0.25">
      <c r="D745" s="166"/>
    </row>
    <row r="746" spans="4:4" x14ac:dyDescent="0.25">
      <c r="D746" s="166"/>
    </row>
    <row r="747" spans="4:4" x14ac:dyDescent="0.25">
      <c r="D747" s="166"/>
    </row>
    <row r="748" spans="4:4" x14ac:dyDescent="0.25">
      <c r="D748" s="166"/>
    </row>
    <row r="749" spans="4:4" x14ac:dyDescent="0.25">
      <c r="D749" s="166"/>
    </row>
    <row r="750" spans="4:4" x14ac:dyDescent="0.25">
      <c r="D750" s="166"/>
    </row>
    <row r="751" spans="4:4" x14ac:dyDescent="0.25">
      <c r="D751" s="166"/>
    </row>
    <row r="752" spans="4:4" x14ac:dyDescent="0.25">
      <c r="D752" s="166"/>
    </row>
    <row r="753" spans="4:4" x14ac:dyDescent="0.25">
      <c r="D753" s="166"/>
    </row>
    <row r="754" spans="4:4" x14ac:dyDescent="0.25">
      <c r="D754" s="166"/>
    </row>
    <row r="755" spans="4:4" x14ac:dyDescent="0.25">
      <c r="D755" s="166"/>
    </row>
    <row r="756" spans="4:4" x14ac:dyDescent="0.25">
      <c r="D756" s="166"/>
    </row>
    <row r="757" spans="4:4" x14ac:dyDescent="0.25">
      <c r="D757" s="166"/>
    </row>
    <row r="758" spans="4:4" x14ac:dyDescent="0.25">
      <c r="D758" s="166"/>
    </row>
    <row r="759" spans="4:4" x14ac:dyDescent="0.25">
      <c r="D759" s="166"/>
    </row>
    <row r="760" spans="4:4" x14ac:dyDescent="0.25">
      <c r="D760" s="166"/>
    </row>
    <row r="761" spans="4:4" x14ac:dyDescent="0.25">
      <c r="D761" s="166"/>
    </row>
    <row r="762" spans="4:4" x14ac:dyDescent="0.25">
      <c r="D762" s="166"/>
    </row>
    <row r="763" spans="4:4" x14ac:dyDescent="0.25">
      <c r="D763" s="166"/>
    </row>
    <row r="764" spans="4:4" x14ac:dyDescent="0.25">
      <c r="D764" s="166"/>
    </row>
    <row r="765" spans="4:4" x14ac:dyDescent="0.25">
      <c r="D765" s="166"/>
    </row>
    <row r="766" spans="4:4" x14ac:dyDescent="0.25">
      <c r="D766" s="166"/>
    </row>
    <row r="767" spans="4:4" x14ac:dyDescent="0.25">
      <c r="D767" s="166"/>
    </row>
    <row r="768" spans="4:4" x14ac:dyDescent="0.25">
      <c r="D768" s="166"/>
    </row>
    <row r="769" spans="4:4" x14ac:dyDescent="0.25">
      <c r="D769" s="166"/>
    </row>
    <row r="770" spans="4:4" x14ac:dyDescent="0.25">
      <c r="D770" s="166"/>
    </row>
    <row r="771" spans="4:4" x14ac:dyDescent="0.25">
      <c r="D771" s="166"/>
    </row>
    <row r="772" spans="4:4" x14ac:dyDescent="0.25">
      <c r="D772" s="166"/>
    </row>
    <row r="773" spans="4:4" x14ac:dyDescent="0.25">
      <c r="D773" s="166"/>
    </row>
    <row r="774" spans="4:4" x14ac:dyDescent="0.25">
      <c r="D774" s="166"/>
    </row>
    <row r="775" spans="4:4" x14ac:dyDescent="0.25">
      <c r="D775" s="166"/>
    </row>
    <row r="776" spans="4:4" x14ac:dyDescent="0.25">
      <c r="D776" s="166"/>
    </row>
    <row r="777" spans="4:4" x14ac:dyDescent="0.25">
      <c r="D777" s="166"/>
    </row>
    <row r="778" spans="4:4" x14ac:dyDescent="0.25">
      <c r="D778" s="166"/>
    </row>
    <row r="779" spans="4:4" x14ac:dyDescent="0.25">
      <c r="D779" s="166"/>
    </row>
    <row r="780" spans="4:4" x14ac:dyDescent="0.25">
      <c r="D780" s="166"/>
    </row>
    <row r="781" spans="4:4" x14ac:dyDescent="0.25">
      <c r="D781" s="166"/>
    </row>
    <row r="782" spans="4:4" x14ac:dyDescent="0.25">
      <c r="D782" s="166"/>
    </row>
    <row r="783" spans="4:4" x14ac:dyDescent="0.25">
      <c r="D783" s="166"/>
    </row>
    <row r="784" spans="4:4" x14ac:dyDescent="0.25">
      <c r="D784" s="166"/>
    </row>
    <row r="785" spans="4:4" x14ac:dyDescent="0.25">
      <c r="D785" s="166"/>
    </row>
    <row r="786" spans="4:4" x14ac:dyDescent="0.25">
      <c r="D786" s="166"/>
    </row>
    <row r="787" spans="4:4" x14ac:dyDescent="0.25">
      <c r="D787" s="166"/>
    </row>
    <row r="788" spans="4:4" x14ac:dyDescent="0.25">
      <c r="D788" s="166"/>
    </row>
    <row r="789" spans="4:4" x14ac:dyDescent="0.25">
      <c r="D789" s="166"/>
    </row>
    <row r="790" spans="4:4" x14ac:dyDescent="0.25">
      <c r="D790" s="166"/>
    </row>
    <row r="791" spans="4:4" x14ac:dyDescent="0.25">
      <c r="D791" s="166"/>
    </row>
    <row r="792" spans="4:4" x14ac:dyDescent="0.25">
      <c r="D792" s="166"/>
    </row>
    <row r="793" spans="4:4" x14ac:dyDescent="0.25">
      <c r="D793" s="166"/>
    </row>
    <row r="794" spans="4:4" x14ac:dyDescent="0.25">
      <c r="D794" s="166"/>
    </row>
    <row r="795" spans="4:4" x14ac:dyDescent="0.25">
      <c r="D795" s="166"/>
    </row>
    <row r="796" spans="4:4" x14ac:dyDescent="0.25">
      <c r="D796" s="166"/>
    </row>
    <row r="797" spans="4:4" x14ac:dyDescent="0.25">
      <c r="D797" s="166"/>
    </row>
    <row r="798" spans="4:4" x14ac:dyDescent="0.25">
      <c r="D798" s="166"/>
    </row>
    <row r="799" spans="4:4" x14ac:dyDescent="0.25">
      <c r="D799" s="166"/>
    </row>
    <row r="800" spans="4:4" x14ac:dyDescent="0.25">
      <c r="D800" s="166"/>
    </row>
    <row r="801" spans="4:4" x14ac:dyDescent="0.25">
      <c r="D801" s="166"/>
    </row>
    <row r="802" spans="4:4" x14ac:dyDescent="0.25">
      <c r="D802" s="166"/>
    </row>
    <row r="803" spans="4:4" x14ac:dyDescent="0.25">
      <c r="D803" s="166"/>
    </row>
    <row r="804" spans="4:4" x14ac:dyDescent="0.25">
      <c r="D804" s="166"/>
    </row>
    <row r="805" spans="4:4" x14ac:dyDescent="0.25">
      <c r="D805" s="166"/>
    </row>
    <row r="806" spans="4:4" x14ac:dyDescent="0.25">
      <c r="D806" s="166"/>
    </row>
    <row r="807" spans="4:4" x14ac:dyDescent="0.25">
      <c r="D807" s="166"/>
    </row>
    <row r="808" spans="4:4" x14ac:dyDescent="0.25">
      <c r="D808" s="166"/>
    </row>
    <row r="809" spans="4:4" x14ac:dyDescent="0.25">
      <c r="D809" s="166"/>
    </row>
    <row r="810" spans="4:4" x14ac:dyDescent="0.25">
      <c r="D810" s="166"/>
    </row>
    <row r="811" spans="4:4" x14ac:dyDescent="0.25">
      <c r="D811" s="166"/>
    </row>
    <row r="812" spans="4:4" x14ac:dyDescent="0.25">
      <c r="D812" s="166"/>
    </row>
    <row r="813" spans="4:4" x14ac:dyDescent="0.25">
      <c r="D813" s="166"/>
    </row>
    <row r="814" spans="4:4" x14ac:dyDescent="0.25">
      <c r="D814" s="166"/>
    </row>
    <row r="815" spans="4:4" x14ac:dyDescent="0.25">
      <c r="D815" s="166"/>
    </row>
    <row r="816" spans="4:4" x14ac:dyDescent="0.25">
      <c r="D816" s="166"/>
    </row>
    <row r="817" spans="4:4" x14ac:dyDescent="0.25">
      <c r="D817" s="166"/>
    </row>
    <row r="818" spans="4:4" x14ac:dyDescent="0.25">
      <c r="D818" s="166"/>
    </row>
    <row r="819" spans="4:4" x14ac:dyDescent="0.25">
      <c r="D819" s="166"/>
    </row>
    <row r="820" spans="4:4" x14ac:dyDescent="0.25">
      <c r="D820" s="166"/>
    </row>
    <row r="821" spans="4:4" x14ac:dyDescent="0.25">
      <c r="D821" s="166"/>
    </row>
    <row r="822" spans="4:4" x14ac:dyDescent="0.25">
      <c r="D822" s="166"/>
    </row>
    <row r="823" spans="4:4" x14ac:dyDescent="0.25">
      <c r="D823" s="166"/>
    </row>
    <row r="824" spans="4:4" x14ac:dyDescent="0.25">
      <c r="D824" s="166"/>
    </row>
    <row r="825" spans="4:4" x14ac:dyDescent="0.25">
      <c r="D825" s="166"/>
    </row>
    <row r="826" spans="4:4" x14ac:dyDescent="0.25">
      <c r="D826" s="166"/>
    </row>
    <row r="827" spans="4:4" x14ac:dyDescent="0.25">
      <c r="D827" s="166"/>
    </row>
    <row r="828" spans="4:4" x14ac:dyDescent="0.25">
      <c r="D828" s="166"/>
    </row>
    <row r="829" spans="4:4" x14ac:dyDescent="0.25">
      <c r="D829" s="166"/>
    </row>
    <row r="830" spans="4:4" x14ac:dyDescent="0.25">
      <c r="D830" s="166"/>
    </row>
    <row r="831" spans="4:4" x14ac:dyDescent="0.25">
      <c r="D831" s="166"/>
    </row>
    <row r="832" spans="4:4" x14ac:dyDescent="0.25">
      <c r="D832" s="166"/>
    </row>
    <row r="833" spans="4:4" x14ac:dyDescent="0.25">
      <c r="D833" s="166"/>
    </row>
    <row r="834" spans="4:4" x14ac:dyDescent="0.25">
      <c r="D834" s="166"/>
    </row>
    <row r="835" spans="4:4" x14ac:dyDescent="0.25">
      <c r="D835" s="166"/>
    </row>
    <row r="836" spans="4:4" x14ac:dyDescent="0.25">
      <c r="D836" s="166"/>
    </row>
    <row r="837" spans="4:4" x14ac:dyDescent="0.25">
      <c r="D837" s="166"/>
    </row>
    <row r="838" spans="4:4" x14ac:dyDescent="0.25">
      <c r="D838" s="166"/>
    </row>
    <row r="839" spans="4:4" x14ac:dyDescent="0.25">
      <c r="D839" s="166"/>
    </row>
    <row r="840" spans="4:4" x14ac:dyDescent="0.25">
      <c r="D840" s="166"/>
    </row>
    <row r="841" spans="4:4" x14ac:dyDescent="0.25">
      <c r="D841" s="166"/>
    </row>
    <row r="842" spans="4:4" x14ac:dyDescent="0.25">
      <c r="D842" s="166"/>
    </row>
    <row r="843" spans="4:4" x14ac:dyDescent="0.25">
      <c r="D843" s="166"/>
    </row>
    <row r="844" spans="4:4" x14ac:dyDescent="0.25">
      <c r="D844" s="166"/>
    </row>
    <row r="845" spans="4:4" x14ac:dyDescent="0.25">
      <c r="D845" s="166"/>
    </row>
    <row r="846" spans="4:4" x14ac:dyDescent="0.25">
      <c r="D846" s="166"/>
    </row>
    <row r="847" spans="4:4" x14ac:dyDescent="0.25">
      <c r="D847" s="166"/>
    </row>
    <row r="848" spans="4:4" x14ac:dyDescent="0.25">
      <c r="D848" s="166"/>
    </row>
    <row r="849" spans="4:4" x14ac:dyDescent="0.25">
      <c r="D849" s="166"/>
    </row>
    <row r="850" spans="4:4" x14ac:dyDescent="0.25">
      <c r="D850" s="166"/>
    </row>
    <row r="851" spans="4:4" x14ac:dyDescent="0.25">
      <c r="D851" s="166"/>
    </row>
    <row r="852" spans="4:4" x14ac:dyDescent="0.25">
      <c r="D852" s="166"/>
    </row>
    <row r="853" spans="4:4" x14ac:dyDescent="0.25">
      <c r="D853" s="166"/>
    </row>
    <row r="854" spans="4:4" x14ac:dyDescent="0.25">
      <c r="D854" s="166"/>
    </row>
    <row r="855" spans="4:4" x14ac:dyDescent="0.25">
      <c r="D855" s="166"/>
    </row>
    <row r="856" spans="4:4" x14ac:dyDescent="0.25">
      <c r="D856" s="166"/>
    </row>
    <row r="857" spans="4:4" x14ac:dyDescent="0.25">
      <c r="D857" s="166"/>
    </row>
    <row r="858" spans="4:4" x14ac:dyDescent="0.25">
      <c r="D858" s="166"/>
    </row>
    <row r="859" spans="4:4" x14ac:dyDescent="0.25">
      <c r="D859" s="166"/>
    </row>
    <row r="860" spans="4:4" x14ac:dyDescent="0.25">
      <c r="D860" s="166"/>
    </row>
    <row r="861" spans="4:4" x14ac:dyDescent="0.25">
      <c r="D861" s="166"/>
    </row>
    <row r="862" spans="4:4" x14ac:dyDescent="0.25">
      <c r="D862" s="166"/>
    </row>
    <row r="863" spans="4:4" x14ac:dyDescent="0.25">
      <c r="D863" s="166"/>
    </row>
    <row r="864" spans="4:4" x14ac:dyDescent="0.25">
      <c r="D864" s="166"/>
    </row>
    <row r="865" spans="4:4" x14ac:dyDescent="0.25">
      <c r="D865" s="166"/>
    </row>
    <row r="866" spans="4:4" x14ac:dyDescent="0.25">
      <c r="D866" s="166"/>
    </row>
    <row r="867" spans="4:4" x14ac:dyDescent="0.25">
      <c r="D867" s="166"/>
    </row>
    <row r="868" spans="4:4" x14ac:dyDescent="0.25">
      <c r="D868" s="166"/>
    </row>
    <row r="869" spans="4:4" x14ac:dyDescent="0.25">
      <c r="D869" s="166"/>
    </row>
    <row r="870" spans="4:4" x14ac:dyDescent="0.25">
      <c r="D870" s="166"/>
    </row>
    <row r="871" spans="4:4" x14ac:dyDescent="0.25">
      <c r="D871" s="166"/>
    </row>
    <row r="872" spans="4:4" x14ac:dyDescent="0.25">
      <c r="D872" s="166"/>
    </row>
    <row r="873" spans="4:4" x14ac:dyDescent="0.25">
      <c r="D873" s="166"/>
    </row>
    <row r="874" spans="4:4" x14ac:dyDescent="0.25">
      <c r="D874" s="166"/>
    </row>
    <row r="875" spans="4:4" x14ac:dyDescent="0.25">
      <c r="D875" s="166"/>
    </row>
    <row r="876" spans="4:4" x14ac:dyDescent="0.25">
      <c r="D876" s="166"/>
    </row>
    <row r="877" spans="4:4" x14ac:dyDescent="0.25">
      <c r="D877" s="166"/>
    </row>
    <row r="878" spans="4:4" x14ac:dyDescent="0.25">
      <c r="D878" s="166"/>
    </row>
    <row r="879" spans="4:4" x14ac:dyDescent="0.25">
      <c r="D879" s="166"/>
    </row>
    <row r="880" spans="4:4" x14ac:dyDescent="0.25">
      <c r="D880" s="166"/>
    </row>
    <row r="881" spans="4:4" x14ac:dyDescent="0.25">
      <c r="D881" s="166"/>
    </row>
    <row r="882" spans="4:4" x14ac:dyDescent="0.25">
      <c r="D882" s="166"/>
    </row>
    <row r="883" spans="4:4" x14ac:dyDescent="0.25">
      <c r="D883" s="166"/>
    </row>
    <row r="884" spans="4:4" x14ac:dyDescent="0.25">
      <c r="D884" s="166"/>
    </row>
    <row r="885" spans="4:4" x14ac:dyDescent="0.25">
      <c r="D885" s="166"/>
    </row>
    <row r="886" spans="4:4" x14ac:dyDescent="0.25">
      <c r="D886" s="166"/>
    </row>
    <row r="887" spans="4:4" x14ac:dyDescent="0.25">
      <c r="D887" s="166"/>
    </row>
    <row r="888" spans="4:4" x14ac:dyDescent="0.25">
      <c r="D888" s="166"/>
    </row>
    <row r="889" spans="4:4" x14ac:dyDescent="0.25">
      <c r="D889" s="166"/>
    </row>
    <row r="890" spans="4:4" x14ac:dyDescent="0.25">
      <c r="D890" s="166"/>
    </row>
    <row r="891" spans="4:4" x14ac:dyDescent="0.25">
      <c r="D891" s="166"/>
    </row>
    <row r="892" spans="4:4" x14ac:dyDescent="0.25">
      <c r="D892" s="166"/>
    </row>
    <row r="893" spans="4:4" x14ac:dyDescent="0.25">
      <c r="D893" s="166"/>
    </row>
    <row r="894" spans="4:4" x14ac:dyDescent="0.25">
      <c r="D894" s="166"/>
    </row>
    <row r="895" spans="4:4" x14ac:dyDescent="0.25">
      <c r="D895" s="166"/>
    </row>
    <row r="896" spans="4:4" x14ac:dyDescent="0.25">
      <c r="D896" s="166"/>
    </row>
    <row r="897" spans="4:4" x14ac:dyDescent="0.25">
      <c r="D897" s="166"/>
    </row>
    <row r="898" spans="4:4" x14ac:dyDescent="0.25">
      <c r="D898" s="166"/>
    </row>
    <row r="899" spans="4:4" x14ac:dyDescent="0.25">
      <c r="D899" s="166"/>
    </row>
    <row r="900" spans="4:4" x14ac:dyDescent="0.25">
      <c r="D900" s="166"/>
    </row>
    <row r="901" spans="4:4" x14ac:dyDescent="0.25">
      <c r="D901" s="166"/>
    </row>
    <row r="902" spans="4:4" x14ac:dyDescent="0.25">
      <c r="D902" s="166"/>
    </row>
    <row r="903" spans="4:4" x14ac:dyDescent="0.25">
      <c r="D903" s="166"/>
    </row>
    <row r="904" spans="4:4" x14ac:dyDescent="0.25">
      <c r="D904" s="166"/>
    </row>
    <row r="905" spans="4:4" x14ac:dyDescent="0.25">
      <c r="D905" s="166"/>
    </row>
    <row r="906" spans="4:4" x14ac:dyDescent="0.25">
      <c r="D906" s="166"/>
    </row>
    <row r="907" spans="4:4" x14ac:dyDescent="0.25">
      <c r="D907" s="166"/>
    </row>
    <row r="908" spans="4:4" x14ac:dyDescent="0.25">
      <c r="D908" s="166"/>
    </row>
    <row r="909" spans="4:4" x14ac:dyDescent="0.25">
      <c r="D909" s="166"/>
    </row>
    <row r="910" spans="4:4" x14ac:dyDescent="0.25">
      <c r="D910" s="166"/>
    </row>
    <row r="911" spans="4:4" x14ac:dyDescent="0.25">
      <c r="D911" s="166"/>
    </row>
    <row r="912" spans="4:4" x14ac:dyDescent="0.25">
      <c r="D912" s="166"/>
    </row>
    <row r="913" spans="4:4" x14ac:dyDescent="0.25">
      <c r="D913" s="166"/>
    </row>
    <row r="914" spans="4:4" x14ac:dyDescent="0.25">
      <c r="D914" s="166"/>
    </row>
    <row r="915" spans="4:4" x14ac:dyDescent="0.25">
      <c r="D915" s="166"/>
    </row>
    <row r="916" spans="4:4" x14ac:dyDescent="0.25">
      <c r="D916" s="166"/>
    </row>
  </sheetData>
  <autoFilter ref="A1:E64"/>
  <conditionalFormatting sqref="E66 B22 B18:C21 E32 A4:A5 D62 A22:A25 A27 A29:C30 B31 A32:A35 A40:A42 A44 A48:A49 A51:A53 A7 A9:A11 E14:E21 A13:A14 A16:A20 A56:A64">
    <cfRule type="notContainsBlanks" dxfId="6" priority="9">
      <formula>LEN(TRIM(A4))&gt;0</formula>
    </cfRule>
  </conditionalFormatting>
  <conditionalFormatting sqref="E33">
    <cfRule type="notContainsBlanks" dxfId="5" priority="7">
      <formula>LEN(TRIM(E33))&gt;0</formula>
    </cfRule>
  </conditionalFormatting>
  <conditionalFormatting sqref="A45">
    <cfRule type="notContainsBlanks" dxfId="4" priority="5">
      <formula>LEN(TRIM(A45))&gt;0</formula>
    </cfRule>
  </conditionalFormatting>
  <conditionalFormatting sqref="A50">
    <cfRule type="notContainsBlanks" dxfId="3" priority="4">
      <formula>LEN(TRIM(A50))&gt;0</formula>
    </cfRule>
  </conditionalFormatting>
  <conditionalFormatting sqref="A46">
    <cfRule type="notContainsBlanks" dxfId="2" priority="3">
      <formula>LEN(TRIM(A46))&gt;0</formula>
    </cfRule>
  </conditionalFormatting>
  <conditionalFormatting sqref="A54:B54">
    <cfRule type="notContainsBlanks" dxfId="1" priority="2">
      <formula>LEN(TRIM(A54))&gt;0</formula>
    </cfRule>
  </conditionalFormatting>
  <conditionalFormatting sqref="A55">
    <cfRule type="notContainsBlanks" dxfId="0" priority="1">
      <formula>LEN(TRIM(A55))&gt;0</formula>
    </cfRule>
  </conditionalFormatting>
  <hyperlinks>
    <hyperlink ref="A18" r:id="rId1"/>
    <hyperlink ref="A2" r:id="rId2"/>
    <hyperlink ref="A4" r:id="rId3"/>
    <hyperlink ref="A5" r:id="rId4"/>
    <hyperlink ref="A7" r:id="rId5"/>
    <hyperlink ref="A9" r:id="rId6"/>
    <hyperlink ref="A10" r:id="rId7"/>
    <hyperlink ref="A11" r:id="rId8"/>
    <hyperlink ref="A13" r:id="rId9"/>
    <hyperlink ref="A14" r:id="rId10"/>
    <hyperlink ref="A16" r:id="rId11"/>
    <hyperlink ref="A19" r:id="rId12"/>
    <hyperlink ref="A22" r:id="rId13"/>
    <hyperlink ref="A24" r:id="rId14"/>
    <hyperlink ref="A25" r:id="rId15"/>
    <hyperlink ref="A27" r:id="rId16"/>
    <hyperlink ref="A29" r:id="rId17"/>
    <hyperlink ref="A32" r:id="rId18"/>
    <hyperlink ref="A33" r:id="rId19"/>
    <hyperlink ref="A34" r:id="rId20"/>
    <hyperlink ref="A40" r:id="rId21"/>
    <hyperlink ref="A42" r:id="rId22"/>
    <hyperlink ref="A44" r:id="rId23"/>
    <hyperlink ref="A48" r:id="rId24"/>
    <hyperlink ref="A49" r:id="rId25"/>
    <hyperlink ref="A51" r:id="rId26"/>
    <hyperlink ref="A52" r:id="rId27"/>
    <hyperlink ref="A53" r:id="rId28"/>
    <hyperlink ref="A56" r:id="rId29"/>
    <hyperlink ref="A57" r:id="rId30"/>
    <hyperlink ref="A60" r:id="rId31"/>
    <hyperlink ref="A61" r:id="rId32"/>
    <hyperlink ref="A63" r:id="rId33"/>
    <hyperlink ref="A6" r:id="rId34"/>
    <hyperlink ref="A45" r:id="rId35"/>
    <hyperlink ref="A64" r:id="rId36"/>
    <hyperlink ref="A62" r:id="rId37"/>
    <hyperlink ref="A58" r:id="rId38"/>
    <hyperlink ref="A50" r:id="rId39"/>
    <hyperlink ref="A46" r:id="rId40"/>
    <hyperlink ref="A30" r:id="rId41"/>
    <hyperlink ref="A3" r:id="rId42"/>
    <hyperlink ref="A8" r:id="rId43"/>
    <hyperlink ref="A12" r:id="rId44"/>
    <hyperlink ref="A15" r:id="rId45"/>
    <hyperlink ref="A17" r:id="rId46"/>
    <hyperlink ref="A21" r:id="rId47"/>
    <hyperlink ref="A31" r:id="rId48"/>
    <hyperlink ref="A26" r:id="rId49"/>
    <hyperlink ref="A36" r:id="rId50"/>
    <hyperlink ref="A37" r:id="rId51"/>
    <hyperlink ref="A38" r:id="rId52"/>
    <hyperlink ref="A39" r:id="rId53"/>
    <hyperlink ref="A41" r:id="rId54"/>
    <hyperlink ref="A43" r:id="rId55"/>
    <hyperlink ref="A47" r:id="rId56"/>
    <hyperlink ref="A54" r:id="rId57"/>
    <hyperlink ref="A59" r:id="rId58"/>
    <hyperlink ref="A20" r:id="rId59"/>
    <hyperlink ref="A35" r:id="rId60"/>
    <hyperlink ref="A28" r:id="rId61"/>
    <hyperlink ref="A55" r:id="rId62"/>
  </hyperlinks>
  <pageMargins left="0.7" right="0.7" top="0.75" bottom="0.75" header="0.3" footer="0.3"/>
  <pageSetup paperSize="5" fitToHeight="0" orientation="landscape" r:id="rId6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workbookViewId="0">
      <selection activeCell="H16" sqref="H16"/>
    </sheetView>
  </sheetViews>
  <sheetFormatPr defaultRowHeight="15" x14ac:dyDescent="0.25"/>
  <cols>
    <col min="1" max="1" width="45" style="1" customWidth="1"/>
    <col min="2" max="2" width="12.28515625" style="1" customWidth="1"/>
    <col min="3" max="3" width="18.5703125" style="1" customWidth="1"/>
    <col min="4" max="4" width="15.42578125" style="1" customWidth="1"/>
    <col min="5" max="5" width="64" style="1" customWidth="1"/>
    <col min="6" max="6" width="21.28515625" style="1" customWidth="1"/>
    <col min="7" max="7" width="11.5703125" style="1" bestFit="1" customWidth="1"/>
    <col min="8" max="16384" width="9.140625" style="1"/>
  </cols>
  <sheetData>
    <row r="1" spans="1:8" ht="18" thickBot="1" x14ac:dyDescent="0.3">
      <c r="A1" s="20" t="s">
        <v>1</v>
      </c>
      <c r="B1" s="35" t="s">
        <v>500</v>
      </c>
      <c r="C1" s="2" t="s">
        <v>344</v>
      </c>
      <c r="D1" s="39"/>
      <c r="E1" s="20" t="s">
        <v>141</v>
      </c>
    </row>
    <row r="2" spans="1:8" ht="29.25" customHeight="1" x14ac:dyDescent="0.25">
      <c r="A2" s="8" t="s">
        <v>320</v>
      </c>
      <c r="B2" s="9">
        <v>970510</v>
      </c>
      <c r="C2" s="38" t="s">
        <v>167</v>
      </c>
      <c r="E2" s="37" t="s">
        <v>297</v>
      </c>
    </row>
    <row r="3" spans="1:8" ht="28.5" customHeight="1" x14ac:dyDescent="0.25">
      <c r="A3" s="8" t="s">
        <v>148</v>
      </c>
      <c r="B3" s="43">
        <v>375951.48524000001</v>
      </c>
      <c r="C3" s="38" t="s">
        <v>170</v>
      </c>
      <c r="D3" s="38" t="s">
        <v>171</v>
      </c>
      <c r="E3" s="37" t="s">
        <v>493</v>
      </c>
    </row>
    <row r="4" spans="1:8" ht="26.25" x14ac:dyDescent="0.25">
      <c r="A4" s="276" t="s">
        <v>152</v>
      </c>
      <c r="B4" s="277">
        <v>53594.15</v>
      </c>
      <c r="C4" s="278" t="s">
        <v>374</v>
      </c>
      <c r="D4" s="279" t="s">
        <v>373</v>
      </c>
      <c r="E4" s="280" t="s">
        <v>492</v>
      </c>
    </row>
    <row r="5" spans="1:8" ht="14.25" customHeight="1" thickBot="1" x14ac:dyDescent="0.3">
      <c r="A5" s="80"/>
      <c r="C5" s="37"/>
      <c r="D5" s="38"/>
    </row>
    <row r="6" spans="1:8" ht="15.75" thickBot="1" x14ac:dyDescent="0.3">
      <c r="A6" s="104" t="s">
        <v>380</v>
      </c>
      <c r="B6" s="105">
        <f>SUM(B2:B4)+B7</f>
        <v>1686260.8785751399</v>
      </c>
    </row>
    <row r="7" spans="1:8" ht="15.75" thickBot="1" x14ac:dyDescent="0.3">
      <c r="A7" s="104" t="s">
        <v>337</v>
      </c>
      <c r="B7" s="275">
        <f>C31+C16</f>
        <v>286205.24333513994</v>
      </c>
    </row>
    <row r="8" spans="1:8" ht="14.25" customHeight="1" x14ac:dyDescent="0.25">
      <c r="C8" s="8"/>
    </row>
    <row r="9" spans="1:8" ht="15.75" thickBot="1" x14ac:dyDescent="0.3">
      <c r="A9" s="250" t="s">
        <v>136</v>
      </c>
      <c r="B9" s="248" t="s">
        <v>459</v>
      </c>
      <c r="C9" s="251"/>
      <c r="D9" s="252"/>
      <c r="E9" s="253"/>
      <c r="F9" s="159"/>
      <c r="G9" s="159"/>
      <c r="H9" s="159"/>
    </row>
    <row r="10" spans="1:8" ht="62.25" x14ac:dyDescent="0.25">
      <c r="A10" s="254" t="s">
        <v>125</v>
      </c>
      <c r="B10" s="281" t="s">
        <v>502</v>
      </c>
      <c r="C10" s="269" t="s">
        <v>454</v>
      </c>
      <c r="D10" s="95" t="s">
        <v>130</v>
      </c>
      <c r="E10" s="268" t="s">
        <v>460</v>
      </c>
      <c r="F10" s="267"/>
      <c r="H10" s="199"/>
    </row>
    <row r="11" spans="1:8" x14ac:dyDescent="0.25">
      <c r="A11" s="79" t="s">
        <v>126</v>
      </c>
      <c r="B11" s="270">
        <v>108296.958963547</v>
      </c>
      <c r="C11" s="151">
        <v>32070.19279801727</v>
      </c>
      <c r="D11" s="150"/>
      <c r="G11" s="28"/>
      <c r="H11" s="199"/>
    </row>
    <row r="12" spans="1:8" x14ac:dyDescent="0.25">
      <c r="A12" s="79" t="s">
        <v>127</v>
      </c>
      <c r="B12" s="270">
        <v>226144.66793026141</v>
      </c>
      <c r="C12" s="151">
        <f>62898.34-305.5</f>
        <v>62592.84</v>
      </c>
      <c r="D12" s="81" t="s">
        <v>491</v>
      </c>
      <c r="G12" s="255"/>
      <c r="H12" s="199"/>
    </row>
    <row r="13" spans="1:8" x14ac:dyDescent="0.25">
      <c r="A13" s="1" t="s">
        <v>128</v>
      </c>
      <c r="B13" s="271">
        <v>89513.694645721291</v>
      </c>
      <c r="C13" s="151">
        <v>0</v>
      </c>
      <c r="D13" s="4"/>
      <c r="E13" s="4"/>
      <c r="G13" s="255"/>
      <c r="H13" s="199"/>
    </row>
    <row r="14" spans="1:8" x14ac:dyDescent="0.25">
      <c r="A14" s="1" t="s">
        <v>129</v>
      </c>
      <c r="B14" s="271">
        <v>4606.5814453186604</v>
      </c>
      <c r="C14" s="151">
        <v>1364.3278778377219</v>
      </c>
      <c r="E14" s="4"/>
      <c r="H14" s="116"/>
    </row>
    <row r="15" spans="1:8" x14ac:dyDescent="0.25">
      <c r="A15" s="19" t="s">
        <v>335</v>
      </c>
      <c r="B15" s="271">
        <v>25554.536751758402</v>
      </c>
      <c r="C15" s="151">
        <v>2456.24576094655</v>
      </c>
      <c r="E15" s="4"/>
      <c r="H15" s="116"/>
    </row>
    <row r="16" spans="1:8" x14ac:dyDescent="0.25">
      <c r="A16" s="256" t="s">
        <v>379</v>
      </c>
      <c r="B16" s="257"/>
      <c r="C16" s="266">
        <f>SUM(C11:C15)</f>
        <v>98483.606436801536</v>
      </c>
      <c r="E16" s="199"/>
      <c r="H16" s="116"/>
    </row>
    <row r="17" spans="1:8" ht="14.25" customHeight="1" x14ac:dyDescent="0.25">
      <c r="C17" s="258"/>
      <c r="H17" s="116"/>
    </row>
    <row r="18" spans="1:8" ht="15.75" thickBot="1" x14ac:dyDescent="0.3">
      <c r="A18" s="259" t="s">
        <v>137</v>
      </c>
      <c r="B18" s="249" t="s">
        <v>138</v>
      </c>
      <c r="C18" s="260"/>
      <c r="D18" s="260"/>
      <c r="E18" s="253"/>
      <c r="F18" s="159"/>
      <c r="G18" s="159"/>
      <c r="H18" s="159"/>
    </row>
    <row r="19" spans="1:8" ht="62.25" x14ac:dyDescent="0.25">
      <c r="A19" s="203" t="s">
        <v>125</v>
      </c>
      <c r="B19" s="27" t="s">
        <v>381</v>
      </c>
      <c r="C19" s="269" t="s">
        <v>454</v>
      </c>
      <c r="D19" s="274" t="s">
        <v>130</v>
      </c>
      <c r="F19" s="83"/>
      <c r="G19" s="28"/>
      <c r="H19" s="28"/>
    </row>
    <row r="20" spans="1:8" x14ac:dyDescent="0.25">
      <c r="A20" s="261" t="s">
        <v>2</v>
      </c>
      <c r="B20" s="272">
        <v>597705.1</v>
      </c>
      <c r="C20" s="262">
        <f>'New Allcountry'!K13</f>
        <v>72168.02</v>
      </c>
      <c r="D20" s="62"/>
      <c r="F20" s="263"/>
      <c r="G20" s="199"/>
      <c r="H20" s="264"/>
    </row>
    <row r="21" spans="1:8" x14ac:dyDescent="0.25">
      <c r="A21" s="261" t="s">
        <v>131</v>
      </c>
      <c r="B21" s="272">
        <v>80529.5</v>
      </c>
      <c r="C21" s="262">
        <f>'New Allcountry'!K26</f>
        <v>16102.585671000001</v>
      </c>
      <c r="D21" s="62"/>
      <c r="G21" s="199"/>
      <c r="H21" s="264"/>
    </row>
    <row r="22" spans="1:8" x14ac:dyDescent="0.25">
      <c r="A22" s="261" t="s">
        <v>132</v>
      </c>
      <c r="B22" s="272">
        <v>270774.2</v>
      </c>
      <c r="C22" s="262">
        <f>'New Allcountry'!K54</f>
        <v>5548.8400000000038</v>
      </c>
      <c r="D22" s="62"/>
      <c r="G22" s="199"/>
      <c r="H22" s="264"/>
    </row>
    <row r="23" spans="1:8" x14ac:dyDescent="0.25">
      <c r="A23" s="261" t="s">
        <v>96</v>
      </c>
      <c r="B23" s="272">
        <v>26281.5</v>
      </c>
      <c r="C23" s="262">
        <f>'New Allcountry'!K77</f>
        <v>3978.0950221633029</v>
      </c>
      <c r="D23" s="82" t="s">
        <v>494</v>
      </c>
      <c r="G23" s="199"/>
      <c r="H23" s="264"/>
    </row>
    <row r="24" spans="1:8" x14ac:dyDescent="0.25">
      <c r="A24" s="261" t="s">
        <v>150</v>
      </c>
      <c r="B24" s="273">
        <v>123867.21883587541</v>
      </c>
      <c r="C24" s="262">
        <f>'New Allcountry'!K85</f>
        <v>23673.443767175082</v>
      </c>
      <c r="D24" s="82" t="s">
        <v>495</v>
      </c>
      <c r="G24" s="199"/>
      <c r="H24" s="264"/>
    </row>
    <row r="25" spans="1:8" x14ac:dyDescent="0.25">
      <c r="A25" s="261" t="s">
        <v>99</v>
      </c>
      <c r="B25" s="272">
        <v>246488.5</v>
      </c>
      <c r="C25" s="262">
        <f>'New Allcountry'!K96</f>
        <v>24648.850000000006</v>
      </c>
      <c r="D25" s="82" t="s">
        <v>496</v>
      </c>
      <c r="G25" s="199"/>
      <c r="H25" s="264"/>
    </row>
    <row r="26" spans="1:8" x14ac:dyDescent="0.25">
      <c r="A26" s="261" t="s">
        <v>336</v>
      </c>
      <c r="B26" s="272">
        <v>176163.1</v>
      </c>
      <c r="C26" s="262">
        <v>32154.691186000004</v>
      </c>
      <c r="D26" s="82"/>
      <c r="G26" s="199"/>
      <c r="H26" s="264"/>
    </row>
    <row r="27" spans="1:8" x14ac:dyDescent="0.25">
      <c r="A27" s="261" t="s">
        <v>133</v>
      </c>
      <c r="B27" s="272">
        <v>10262.9</v>
      </c>
      <c r="C27" s="262">
        <f>'New Allcountry'!K155</f>
        <v>991.3</v>
      </c>
      <c r="D27" s="82" t="s">
        <v>497</v>
      </c>
      <c r="G27" s="199"/>
      <c r="H27" s="264"/>
    </row>
    <row r="28" spans="1:8" x14ac:dyDescent="0.25">
      <c r="A28" s="261" t="s">
        <v>134</v>
      </c>
      <c r="B28" s="272">
        <v>15560.3</v>
      </c>
      <c r="C28" s="262">
        <f>'New Allcountry'!K156</f>
        <v>1556.03</v>
      </c>
      <c r="D28" s="82" t="s">
        <v>498</v>
      </c>
      <c r="G28" s="199"/>
      <c r="H28" s="264"/>
    </row>
    <row r="29" spans="1:8" x14ac:dyDescent="0.25">
      <c r="A29" s="261" t="s">
        <v>135</v>
      </c>
      <c r="B29" s="272">
        <v>36510.9</v>
      </c>
      <c r="C29" s="262">
        <f>'New Allcountry'!K159</f>
        <v>0</v>
      </c>
      <c r="D29" s="82" t="s">
        <v>499</v>
      </c>
    </row>
    <row r="30" spans="1:8" x14ac:dyDescent="0.25">
      <c r="A30" s="261" t="s">
        <v>291</v>
      </c>
      <c r="B30" s="272">
        <v>36030.300000000003</v>
      </c>
      <c r="C30" s="262">
        <f>'New Allcountry'!K198</f>
        <v>6899.7812520000016</v>
      </c>
      <c r="D30" s="62"/>
    </row>
    <row r="31" spans="1:8" x14ac:dyDescent="0.25">
      <c r="A31" s="256" t="s">
        <v>475</v>
      </c>
      <c r="B31" s="257"/>
      <c r="C31" s="265">
        <f>SUM(C20:C30)</f>
        <v>187721.63689833839</v>
      </c>
    </row>
  </sheetData>
  <hyperlinks>
    <hyperlink ref="C2" r:id="rId1"/>
    <hyperlink ref="C3" r:id="rId2"/>
    <hyperlink ref="D3" r:id="rId3" display="SIDS"/>
    <hyperlink ref="D4" r:id="rId4"/>
    <hyperlink ref="A9" r:id="rId5"/>
    <hyperlink ref="A18" r:id="rId6"/>
  </hyperlinks>
  <pageMargins left="0.7" right="0.7" top="0.75" bottom="0.75" header="0.3" footer="0.3"/>
  <pageSetup paperSize="9" scale="84" fitToHeight="0" orientation="landscape"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5"/>
  <sheetViews>
    <sheetView tabSelected="1" workbookViewId="0">
      <pane ySplit="1" topLeftCell="A9" activePane="bottomLeft" state="frozen"/>
      <selection pane="bottomLeft" activeCell="J20" sqref="J20"/>
    </sheetView>
  </sheetViews>
  <sheetFormatPr defaultRowHeight="15" x14ac:dyDescent="0.25"/>
  <cols>
    <col min="1" max="1" width="49.42578125" bestFit="1" customWidth="1"/>
    <col min="2" max="2" width="14.7109375" style="117" customWidth="1"/>
    <col min="3" max="3" width="12.7109375" style="129" customWidth="1"/>
    <col min="4" max="4" width="10" customWidth="1"/>
    <col min="5" max="5" width="15.5703125" style="131" customWidth="1"/>
    <col min="6" max="6" width="16.28515625" style="132" customWidth="1"/>
    <col min="7" max="7" width="14.140625" style="132" customWidth="1"/>
    <col min="8" max="8" width="10.42578125" style="122" customWidth="1"/>
    <col min="9" max="9" width="12.42578125" style="122" customWidth="1"/>
    <col min="10" max="10" width="15.140625" style="122" customWidth="1"/>
    <col min="11" max="11" width="13.7109375" style="132" customWidth="1"/>
    <col min="12" max="12" width="13.85546875" style="132" customWidth="1"/>
    <col min="13" max="13" width="16.85546875" style="137" customWidth="1"/>
  </cols>
  <sheetData>
    <row r="1" spans="1:17" ht="63" thickBot="1" x14ac:dyDescent="0.3">
      <c r="A1" s="234" t="s">
        <v>173</v>
      </c>
      <c r="B1" s="229" t="s">
        <v>482</v>
      </c>
      <c r="C1" s="217" t="s">
        <v>353</v>
      </c>
      <c r="D1" s="218" t="s">
        <v>354</v>
      </c>
      <c r="E1" s="235" t="s">
        <v>296</v>
      </c>
      <c r="F1" s="230" t="s">
        <v>483</v>
      </c>
      <c r="G1" s="231" t="s">
        <v>484</v>
      </c>
      <c r="H1" s="239" t="s">
        <v>485</v>
      </c>
      <c r="I1" s="240" t="s">
        <v>486</v>
      </c>
      <c r="J1" s="240" t="s">
        <v>488</v>
      </c>
      <c r="K1" s="241" t="s">
        <v>489</v>
      </c>
      <c r="L1" s="232" t="s">
        <v>487</v>
      </c>
      <c r="M1" s="233" t="s">
        <v>490</v>
      </c>
    </row>
    <row r="2" spans="1:17" x14ac:dyDescent="0.25">
      <c r="A2" s="214" t="s">
        <v>355</v>
      </c>
      <c r="B2" s="219">
        <f>221134568.8</f>
        <v>221134568.80000001</v>
      </c>
      <c r="C2" s="220">
        <v>2618153</v>
      </c>
      <c r="D2" s="221">
        <f t="shared" ref="D2:D41" si="0">C2/B2</f>
        <v>1.1839636897150745E-2</v>
      </c>
      <c r="E2" s="128"/>
      <c r="F2" s="119"/>
      <c r="G2" s="120"/>
      <c r="H2" s="126"/>
      <c r="I2" s="127"/>
      <c r="J2" s="127">
        <v>1800000</v>
      </c>
      <c r="K2" s="123"/>
      <c r="L2" s="124">
        <f>SUM(G2:K2)</f>
        <v>1800000</v>
      </c>
      <c r="M2" s="125">
        <f t="shared" ref="M2:M65" si="1">(L2+C2)/B2</f>
        <v>1.9979476858708125E-2</v>
      </c>
    </row>
    <row r="3" spans="1:17" x14ac:dyDescent="0.25">
      <c r="A3" s="215" t="s">
        <v>22</v>
      </c>
      <c r="B3" s="222">
        <v>11199.4</v>
      </c>
      <c r="C3" s="118">
        <v>304.39251300000001</v>
      </c>
      <c r="D3" s="221">
        <f t="shared" si="0"/>
        <v>2.7179358983516977E-2</v>
      </c>
      <c r="E3" s="128">
        <v>0.06</v>
      </c>
      <c r="F3" s="132">
        <f>IF(E3&gt;D3, E3*B3-C3, 0)</f>
        <v>367.57148699999993</v>
      </c>
      <c r="G3" s="120">
        <f>IF(F3&gt;SUM(H3:K3), F3-SUM(H3:K3), 0)</f>
        <v>367.57148699999993</v>
      </c>
      <c r="H3" s="121"/>
      <c r="K3" s="120"/>
      <c r="L3" s="124">
        <f t="shared" ref="L3:L66" si="2">SUM(G3:K3)</f>
        <v>367.57148699999993</v>
      </c>
      <c r="M3" s="125">
        <f t="shared" si="1"/>
        <v>0.06</v>
      </c>
    </row>
    <row r="4" spans="1:17" x14ac:dyDescent="0.25">
      <c r="A4" s="215" t="s">
        <v>176</v>
      </c>
      <c r="B4" s="222">
        <v>128993</v>
      </c>
      <c r="C4" s="118">
        <v>110.267219</v>
      </c>
      <c r="D4" s="221">
        <f t="shared" si="0"/>
        <v>8.5483102959075293E-4</v>
      </c>
      <c r="E4" s="128">
        <v>0.05</v>
      </c>
      <c r="F4" s="139" t="s">
        <v>358</v>
      </c>
      <c r="G4" s="120"/>
      <c r="H4" s="121"/>
      <c r="K4" s="123"/>
      <c r="L4" s="124">
        <f t="shared" si="2"/>
        <v>0</v>
      </c>
      <c r="M4" s="125">
        <f t="shared" si="1"/>
        <v>8.5483102959075293E-4</v>
      </c>
      <c r="P4" s="31"/>
      <c r="Q4" s="34"/>
    </row>
    <row r="5" spans="1:17" x14ac:dyDescent="0.25">
      <c r="A5" s="215" t="s">
        <v>177</v>
      </c>
      <c r="B5" s="222">
        <v>406816</v>
      </c>
      <c r="C5" s="118">
        <v>35457.577319999997</v>
      </c>
      <c r="D5" s="221">
        <f t="shared" si="0"/>
        <v>8.715875806261307E-2</v>
      </c>
      <c r="E5" s="128"/>
      <c r="F5" s="119"/>
      <c r="G5" s="120"/>
      <c r="H5" s="121"/>
      <c r="K5" s="123"/>
      <c r="L5" s="124">
        <f t="shared" si="2"/>
        <v>0</v>
      </c>
      <c r="M5" s="125">
        <f t="shared" si="1"/>
        <v>8.715875806261307E-2</v>
      </c>
      <c r="P5" s="31"/>
      <c r="Q5" s="34"/>
    </row>
    <row r="6" spans="1:17" x14ac:dyDescent="0.25">
      <c r="A6" s="215" t="s">
        <v>178</v>
      </c>
      <c r="B6" s="222">
        <v>493753.4</v>
      </c>
      <c r="C6" s="118">
        <v>24.341169000000001</v>
      </c>
      <c r="D6" s="221">
        <f t="shared" si="0"/>
        <v>4.9298230655221818E-5</v>
      </c>
      <c r="E6" s="128"/>
      <c r="F6" s="119"/>
      <c r="G6" s="120"/>
      <c r="H6" s="121"/>
      <c r="K6" s="123"/>
      <c r="L6" s="124">
        <f t="shared" si="2"/>
        <v>0</v>
      </c>
      <c r="M6" s="125">
        <f t="shared" si="1"/>
        <v>4.9298230655221818E-5</v>
      </c>
      <c r="P6" s="304"/>
      <c r="Q6" s="305"/>
    </row>
    <row r="7" spans="1:17" x14ac:dyDescent="0.25">
      <c r="A7" s="215" t="s">
        <v>179</v>
      </c>
      <c r="B7" s="222">
        <v>92653.6</v>
      </c>
      <c r="C7" s="223">
        <v>32</v>
      </c>
      <c r="D7" s="221">
        <f t="shared" si="0"/>
        <v>3.4537244100606992E-4</v>
      </c>
      <c r="E7" s="128"/>
      <c r="F7" s="119"/>
      <c r="G7" s="120"/>
      <c r="H7" s="121"/>
      <c r="K7" s="123"/>
      <c r="L7" s="124">
        <f t="shared" si="2"/>
        <v>0</v>
      </c>
      <c r="M7" s="125">
        <f t="shared" si="1"/>
        <v>3.4537244100606992E-4</v>
      </c>
      <c r="P7" s="31"/>
      <c r="Q7" s="34"/>
    </row>
    <row r="8" spans="1:17" x14ac:dyDescent="0.25">
      <c r="A8" s="215" t="s">
        <v>68</v>
      </c>
      <c r="B8" s="222">
        <v>108492.4</v>
      </c>
      <c r="C8" s="118">
        <v>196.917833</v>
      </c>
      <c r="D8" s="221">
        <f t="shared" si="0"/>
        <v>1.8150380395308796E-3</v>
      </c>
      <c r="E8" s="128">
        <v>0.1</v>
      </c>
      <c r="F8" s="132">
        <f>IF(E8&gt;D8, E8*B8-C8, 0)</f>
        <v>10652.322167</v>
      </c>
      <c r="G8" s="120">
        <f>IF(F8&gt;SUM(H8:K8), F8-SUM(H8:K8), 0)</f>
        <v>10652.322167</v>
      </c>
      <c r="H8" s="121"/>
      <c r="K8" s="120"/>
      <c r="L8" s="124">
        <f t="shared" si="2"/>
        <v>10652.322167</v>
      </c>
      <c r="M8" s="125">
        <f t="shared" si="1"/>
        <v>0.1</v>
      </c>
    </row>
    <row r="9" spans="1:17" x14ac:dyDescent="0.25">
      <c r="A9" s="215" t="s">
        <v>71</v>
      </c>
      <c r="B9" s="222">
        <v>1083150.6000000001</v>
      </c>
      <c r="C9" s="220">
        <v>41250</v>
      </c>
      <c r="D9" s="221">
        <f t="shared" si="0"/>
        <v>3.808334685869167E-2</v>
      </c>
      <c r="E9" s="128">
        <v>0.04</v>
      </c>
      <c r="F9" s="132">
        <f>IF(E9&gt;D9, E9*B9-C9, 0)</f>
        <v>2076.0240000000049</v>
      </c>
      <c r="G9" s="120">
        <f>IF(F9&gt;SUM(H9:K9), F9-SUM(H9:K9), 0)</f>
        <v>0</v>
      </c>
      <c r="H9" s="121"/>
      <c r="I9" s="122">
        <v>10000</v>
      </c>
      <c r="K9" s="120"/>
      <c r="L9" s="124">
        <f t="shared" si="2"/>
        <v>10000</v>
      </c>
      <c r="M9" s="125">
        <f t="shared" si="1"/>
        <v>4.7315673369889649E-2</v>
      </c>
    </row>
    <row r="10" spans="1:17" x14ac:dyDescent="0.25">
      <c r="A10" s="215" t="s">
        <v>180</v>
      </c>
      <c r="B10" s="222">
        <v>25214</v>
      </c>
      <c r="C10" s="118">
        <v>2.6513999999999999E-2</v>
      </c>
      <c r="D10" s="221">
        <f t="shared" si="0"/>
        <v>1.0515586578884745E-6</v>
      </c>
      <c r="E10" s="128"/>
      <c r="F10" s="119"/>
      <c r="G10" s="120"/>
      <c r="H10" s="121"/>
      <c r="K10" s="123"/>
      <c r="L10" s="124">
        <f t="shared" si="2"/>
        <v>0</v>
      </c>
      <c r="M10" s="125">
        <f t="shared" si="1"/>
        <v>1.0515586578884745E-6</v>
      </c>
    </row>
    <row r="11" spans="1:17" x14ac:dyDescent="0.25">
      <c r="A11" s="215" t="s">
        <v>181</v>
      </c>
      <c r="B11" s="222">
        <v>7432133.4000000004</v>
      </c>
      <c r="C11" s="118">
        <v>3014429.0660000001</v>
      </c>
      <c r="D11" s="221">
        <f t="shared" si="0"/>
        <v>0.40559404732966714</v>
      </c>
      <c r="E11" s="128"/>
      <c r="F11" s="119"/>
      <c r="G11" s="120"/>
      <c r="H11" s="121"/>
      <c r="K11" s="123"/>
      <c r="L11" s="124">
        <f t="shared" si="2"/>
        <v>0</v>
      </c>
      <c r="M11" s="125">
        <f t="shared" si="1"/>
        <v>0.40559404732966714</v>
      </c>
    </row>
    <row r="12" spans="1:17" x14ac:dyDescent="0.25">
      <c r="A12" s="215" t="s">
        <v>143</v>
      </c>
      <c r="B12" s="222">
        <v>79032.100000000006</v>
      </c>
      <c r="C12" s="118">
        <v>345.31413700000002</v>
      </c>
      <c r="D12" s="221">
        <f t="shared" si="0"/>
        <v>4.3692896557221686E-3</v>
      </c>
      <c r="E12" s="128" t="s">
        <v>308</v>
      </c>
      <c r="F12" s="132">
        <f>B12*0.02</f>
        <v>1580.6420000000001</v>
      </c>
      <c r="G12" s="120">
        <f>IF(F12&gt;SUM(H12:K12), F12-SUM(H12:K12), 0)</f>
        <v>1230.6420000000001</v>
      </c>
      <c r="H12" s="121"/>
      <c r="I12" s="122">
        <v>350</v>
      </c>
      <c r="K12" s="120"/>
      <c r="L12" s="124">
        <f t="shared" si="2"/>
        <v>1580.6420000000001</v>
      </c>
      <c r="M12" s="125">
        <f t="shared" si="1"/>
        <v>2.436928965572217E-2</v>
      </c>
    </row>
    <row r="13" spans="1:17" x14ac:dyDescent="0.25">
      <c r="A13" s="215" t="s">
        <v>2</v>
      </c>
      <c r="B13" s="222">
        <v>597705.1</v>
      </c>
      <c r="C13" s="220">
        <v>47373</v>
      </c>
      <c r="D13" s="221">
        <f t="shared" si="0"/>
        <v>7.9258149211040699E-2</v>
      </c>
      <c r="E13" s="128"/>
      <c r="F13" s="119"/>
      <c r="G13" s="120"/>
      <c r="H13" s="121"/>
      <c r="K13" s="120">
        <f>B13*0.2-C13-G13-H13-I13-J13</f>
        <v>72168.02</v>
      </c>
      <c r="L13" s="124">
        <f t="shared" si="2"/>
        <v>72168.02</v>
      </c>
      <c r="M13" s="125">
        <f t="shared" si="1"/>
        <v>0.2</v>
      </c>
    </row>
    <row r="14" spans="1:17" x14ac:dyDescent="0.25">
      <c r="A14" s="215" t="s">
        <v>73</v>
      </c>
      <c r="B14" s="222">
        <v>7632.8</v>
      </c>
      <c r="C14" s="118">
        <v>94.820116999999996</v>
      </c>
      <c r="D14" s="221">
        <f t="shared" si="0"/>
        <v>1.2422717351430667E-2</v>
      </c>
      <c r="E14" s="128" t="s">
        <v>75</v>
      </c>
      <c r="F14" s="132">
        <f>B14*0.1</f>
        <v>763.28000000000009</v>
      </c>
      <c r="G14" s="120">
        <f>IF(F14&gt;SUM(H14:K14), F14-SUM(H14:K14), 0)</f>
        <v>763.28000000000009</v>
      </c>
      <c r="H14" s="121"/>
      <c r="K14" s="120"/>
      <c r="L14" s="124">
        <f t="shared" si="2"/>
        <v>763.28000000000009</v>
      </c>
      <c r="M14" s="125">
        <f t="shared" si="1"/>
        <v>0.11242271735143067</v>
      </c>
    </row>
    <row r="15" spans="1:17" x14ac:dyDescent="0.25">
      <c r="A15" s="215" t="s">
        <v>3</v>
      </c>
      <c r="B15" s="222">
        <v>84563.199999999997</v>
      </c>
      <c r="C15" s="118">
        <v>4530.2007480000002</v>
      </c>
      <c r="D15" s="221">
        <f t="shared" si="0"/>
        <v>5.3571775287595554E-2</v>
      </c>
      <c r="E15" s="128">
        <v>0.05</v>
      </c>
      <c r="F15" s="139" t="s">
        <v>359</v>
      </c>
      <c r="G15" s="120"/>
      <c r="H15" s="144">
        <v>4532</v>
      </c>
      <c r="K15" s="123"/>
      <c r="L15" s="124">
        <f t="shared" si="2"/>
        <v>4532</v>
      </c>
      <c r="M15" s="125">
        <f t="shared" si="1"/>
        <v>0.10716482758457579</v>
      </c>
    </row>
    <row r="16" spans="1:17" x14ac:dyDescent="0.25">
      <c r="A16" s="215" t="s">
        <v>182</v>
      </c>
      <c r="B16" s="222">
        <v>185019.8</v>
      </c>
      <c r="C16" s="223">
        <v>10</v>
      </c>
      <c r="D16" s="221">
        <f t="shared" si="0"/>
        <v>5.4048269428461172E-5</v>
      </c>
      <c r="E16" s="128"/>
      <c r="F16" s="119"/>
      <c r="G16" s="120"/>
      <c r="H16" s="121"/>
      <c r="K16" s="123"/>
      <c r="L16" s="124">
        <f t="shared" si="2"/>
        <v>0</v>
      </c>
      <c r="M16" s="125">
        <f t="shared" si="1"/>
        <v>5.4048269428461172E-5</v>
      </c>
    </row>
    <row r="17" spans="1:13" x14ac:dyDescent="0.25">
      <c r="A17" s="215" t="s">
        <v>76</v>
      </c>
      <c r="B17" s="222">
        <v>3465.1</v>
      </c>
      <c r="C17" s="118">
        <v>1270.104171</v>
      </c>
      <c r="D17" s="221">
        <f t="shared" si="0"/>
        <v>0.3665418518946062</v>
      </c>
      <c r="E17" s="128">
        <v>0.1</v>
      </c>
      <c r="F17" s="132">
        <f>IF(E17&gt;D17, E17*B17-C17, 0)</f>
        <v>0</v>
      </c>
      <c r="G17" s="120">
        <f>IF(F17&gt;SUM(H17:K17), F17-SUM(H17:K17), 0)</f>
        <v>0</v>
      </c>
      <c r="H17" s="121"/>
      <c r="K17" s="120"/>
      <c r="L17" s="124">
        <f t="shared" si="2"/>
        <v>0</v>
      </c>
      <c r="M17" s="125">
        <f t="shared" si="1"/>
        <v>0.3665418518946062</v>
      </c>
    </row>
    <row r="18" spans="1:13" x14ac:dyDescent="0.25">
      <c r="A18" s="215" t="s">
        <v>24</v>
      </c>
      <c r="B18" s="222">
        <v>36249.800000000003</v>
      </c>
      <c r="C18" s="118">
        <v>3653.592271</v>
      </c>
      <c r="D18" s="221">
        <f t="shared" si="0"/>
        <v>0.10078930838239107</v>
      </c>
      <c r="E18" s="128"/>
      <c r="F18" s="119"/>
      <c r="G18" s="120"/>
      <c r="H18" s="121"/>
      <c r="K18" s="123"/>
      <c r="L18" s="124">
        <f t="shared" si="2"/>
        <v>0</v>
      </c>
      <c r="M18" s="125">
        <f t="shared" si="1"/>
        <v>0.10078930838239107</v>
      </c>
    </row>
    <row r="19" spans="1:13" x14ac:dyDescent="0.25">
      <c r="A19" s="215" t="s">
        <v>79</v>
      </c>
      <c r="B19" s="222">
        <v>30426</v>
      </c>
      <c r="C19" s="118">
        <v>0</v>
      </c>
      <c r="D19" s="221">
        <f t="shared" si="0"/>
        <v>0</v>
      </c>
      <c r="E19" s="128">
        <v>0.05</v>
      </c>
      <c r="F19" s="132">
        <f>IF(E19&gt;D19, E19*B19-C19, 0)</f>
        <v>1521.3000000000002</v>
      </c>
      <c r="G19" s="120">
        <f>IF(F19&gt;SUM(H19:K19), F19-SUM(H19:K19), 0)</f>
        <v>1521.3000000000002</v>
      </c>
      <c r="H19" s="121"/>
      <c r="K19" s="120"/>
      <c r="L19" s="124">
        <f t="shared" si="2"/>
        <v>1521.3000000000002</v>
      </c>
      <c r="M19" s="125">
        <f t="shared" si="1"/>
        <v>0.05</v>
      </c>
    </row>
    <row r="20" spans="1:13" x14ac:dyDescent="0.25">
      <c r="A20" s="215" t="s">
        <v>183</v>
      </c>
      <c r="B20" s="222">
        <v>451643.7</v>
      </c>
      <c r="C20" s="118">
        <v>0.25482100000000002</v>
      </c>
      <c r="D20" s="221">
        <f t="shared" si="0"/>
        <v>5.6420802504274947E-7</v>
      </c>
      <c r="E20" s="128"/>
      <c r="F20" s="119"/>
      <c r="G20" s="120"/>
      <c r="H20" s="121"/>
      <c r="K20" s="123"/>
      <c r="L20" s="124">
        <f t="shared" si="2"/>
        <v>0</v>
      </c>
      <c r="M20" s="125">
        <f t="shared" si="1"/>
        <v>5.6420802504274947E-7</v>
      </c>
    </row>
    <row r="21" spans="1:13" x14ac:dyDescent="0.25">
      <c r="A21" s="215" t="s">
        <v>184</v>
      </c>
      <c r="B21" s="222">
        <v>25112.400000000001</v>
      </c>
      <c r="C21" s="130">
        <v>2755.525866</v>
      </c>
      <c r="D21" s="221">
        <f t="shared" si="0"/>
        <v>0.10972769890571987</v>
      </c>
      <c r="E21" s="128"/>
      <c r="F21" s="119"/>
      <c r="G21" s="120"/>
      <c r="H21" s="126"/>
      <c r="I21" s="127"/>
      <c r="J21" s="127"/>
      <c r="K21" s="123"/>
      <c r="L21" s="124">
        <f t="shared" si="2"/>
        <v>0</v>
      </c>
      <c r="M21" s="125">
        <f t="shared" si="1"/>
        <v>0.10972769890571987</v>
      </c>
    </row>
    <row r="22" spans="1:13" x14ac:dyDescent="0.25">
      <c r="A22" s="215" t="s">
        <v>185</v>
      </c>
      <c r="B22" s="222">
        <v>13</v>
      </c>
      <c r="C22" s="130">
        <v>0</v>
      </c>
      <c r="D22" s="221">
        <f t="shared" si="0"/>
        <v>0</v>
      </c>
      <c r="E22" s="128"/>
      <c r="F22" s="119"/>
      <c r="G22" s="120"/>
      <c r="H22" s="126"/>
      <c r="I22" s="127"/>
      <c r="J22" s="127"/>
      <c r="K22" s="123"/>
      <c r="L22" s="124">
        <f t="shared" si="2"/>
        <v>0</v>
      </c>
      <c r="M22" s="125">
        <f t="shared" si="1"/>
        <v>0</v>
      </c>
    </row>
    <row r="23" spans="1:13" x14ac:dyDescent="0.25">
      <c r="A23" s="215" t="s">
        <v>186</v>
      </c>
      <c r="B23" s="222">
        <v>440224.4</v>
      </c>
      <c r="C23" s="118">
        <v>13.870359000000001</v>
      </c>
      <c r="D23" s="221">
        <f t="shared" si="0"/>
        <v>3.1507474369889535E-5</v>
      </c>
      <c r="E23" s="128"/>
      <c r="F23" s="119"/>
      <c r="G23" s="120"/>
      <c r="H23" s="121"/>
      <c r="K23" s="123"/>
      <c r="L23" s="124">
        <f t="shared" si="2"/>
        <v>0</v>
      </c>
      <c r="M23" s="125">
        <f t="shared" si="1"/>
        <v>3.1507474369889535E-5</v>
      </c>
    </row>
    <row r="24" spans="1:13" x14ac:dyDescent="0.25">
      <c r="A24" s="215" t="s">
        <v>81</v>
      </c>
      <c r="B24" s="222">
        <v>3672584.3</v>
      </c>
      <c r="C24" s="220">
        <v>977794</v>
      </c>
      <c r="D24" s="221">
        <f t="shared" si="0"/>
        <v>0.26624140390732487</v>
      </c>
      <c r="E24" s="128">
        <v>0.1</v>
      </c>
      <c r="F24" s="132">
        <f>IF(E24&gt;D24, E24*B24-C24, 0)</f>
        <v>0</v>
      </c>
      <c r="G24" s="120">
        <f>IF(F24&gt;SUM(H24:K24), F24-SUM(H24:K24), 0)</f>
        <v>0</v>
      </c>
      <c r="H24" s="121"/>
      <c r="K24" s="120"/>
      <c r="L24" s="124">
        <f t="shared" si="2"/>
        <v>0</v>
      </c>
      <c r="M24" s="125">
        <f t="shared" si="1"/>
        <v>0.26624140390732487</v>
      </c>
    </row>
    <row r="25" spans="1:13" x14ac:dyDescent="0.25">
      <c r="A25" s="215" t="s">
        <v>187</v>
      </c>
      <c r="B25" s="222">
        <v>642744.69999999995</v>
      </c>
      <c r="C25" s="130">
        <v>642270.87320000003</v>
      </c>
      <c r="D25" s="221">
        <f t="shared" si="0"/>
        <v>0.99926280714566773</v>
      </c>
      <c r="E25" s="128"/>
      <c r="F25" s="119"/>
      <c r="G25" s="120"/>
      <c r="H25" s="126"/>
      <c r="I25" s="127"/>
      <c r="J25" s="127"/>
      <c r="K25" s="123"/>
      <c r="L25" s="124">
        <f t="shared" si="2"/>
        <v>0</v>
      </c>
      <c r="M25" s="125">
        <f t="shared" si="1"/>
        <v>0.99926280714566773</v>
      </c>
    </row>
    <row r="26" spans="1:13" x14ac:dyDescent="0.25">
      <c r="A26" s="215" t="s">
        <v>131</v>
      </c>
      <c r="B26" s="222">
        <v>80529.5</v>
      </c>
      <c r="C26" s="118">
        <v>3.3143289999999999</v>
      </c>
      <c r="D26" s="221">
        <f t="shared" si="0"/>
        <v>4.1156706548531904E-5</v>
      </c>
      <c r="E26" s="128"/>
      <c r="F26" s="119"/>
      <c r="G26" s="120"/>
      <c r="H26" s="121"/>
      <c r="K26" s="120">
        <f>B26*0.2-C26-G26-H26-I26-J26</f>
        <v>16102.585671000001</v>
      </c>
      <c r="L26" s="124">
        <f t="shared" si="2"/>
        <v>16102.585671000001</v>
      </c>
      <c r="M26" s="125">
        <f t="shared" si="1"/>
        <v>0.2</v>
      </c>
    </row>
    <row r="27" spans="1:13" x14ac:dyDescent="0.25">
      <c r="A27" s="215" t="s">
        <v>188</v>
      </c>
      <c r="B27" s="222">
        <v>25698.400000000001</v>
      </c>
      <c r="C27" s="118">
        <v>51.679209</v>
      </c>
      <c r="D27" s="221">
        <f t="shared" si="0"/>
        <v>2.0109893612053668E-3</v>
      </c>
      <c r="E27" s="128"/>
      <c r="F27" s="119"/>
      <c r="G27" s="120"/>
      <c r="H27" s="121"/>
      <c r="K27" s="123"/>
      <c r="L27" s="124">
        <f t="shared" si="2"/>
        <v>0</v>
      </c>
      <c r="M27" s="125">
        <f t="shared" si="1"/>
        <v>2.0109893612053668E-3</v>
      </c>
    </row>
    <row r="28" spans="1:13" x14ac:dyDescent="0.25">
      <c r="A28" s="215" t="s">
        <v>189</v>
      </c>
      <c r="B28" s="222">
        <v>35171.9</v>
      </c>
      <c r="C28" s="220">
        <v>2852</v>
      </c>
      <c r="D28" s="221">
        <f t="shared" si="0"/>
        <v>8.1087459022685715E-2</v>
      </c>
      <c r="E28" s="128"/>
      <c r="F28" s="119"/>
      <c r="G28" s="120"/>
      <c r="H28" s="121"/>
      <c r="K28" s="123"/>
      <c r="L28" s="124">
        <f t="shared" si="2"/>
        <v>0</v>
      </c>
      <c r="M28" s="125">
        <f t="shared" si="1"/>
        <v>8.1087459022685715E-2</v>
      </c>
    </row>
    <row r="29" spans="1:13" x14ac:dyDescent="0.25">
      <c r="A29" s="215" t="s">
        <v>190</v>
      </c>
      <c r="B29" s="222">
        <v>801065</v>
      </c>
      <c r="C29" s="118">
        <v>5.4231619999999996</v>
      </c>
      <c r="D29" s="221">
        <f t="shared" si="0"/>
        <v>6.7699400173518998E-6</v>
      </c>
      <c r="E29" s="128">
        <v>0.05</v>
      </c>
      <c r="F29" s="139" t="s">
        <v>360</v>
      </c>
      <c r="G29" s="120"/>
      <c r="H29" s="121"/>
      <c r="K29" s="123"/>
      <c r="L29" s="124">
        <f t="shared" si="2"/>
        <v>0</v>
      </c>
      <c r="M29" s="125">
        <f t="shared" si="1"/>
        <v>6.7699400173518998E-6</v>
      </c>
    </row>
    <row r="30" spans="1:13" x14ac:dyDescent="0.25">
      <c r="A30" s="215" t="s">
        <v>25</v>
      </c>
      <c r="B30" s="222">
        <v>47966.9</v>
      </c>
      <c r="C30" s="118">
        <v>89.107038000000003</v>
      </c>
      <c r="D30" s="221">
        <f t="shared" si="0"/>
        <v>1.8576776485451426E-3</v>
      </c>
      <c r="E30" s="138" t="s">
        <v>442</v>
      </c>
      <c r="F30" s="132">
        <v>83.88</v>
      </c>
      <c r="G30" s="120">
        <f>IF(F30&gt;SUM(H30:K30), F30-SUM(H30:K30), 0)</f>
        <v>83.88</v>
      </c>
      <c r="H30" s="121"/>
      <c r="K30" s="120"/>
      <c r="L30" s="124">
        <f t="shared" si="2"/>
        <v>83.88</v>
      </c>
      <c r="M30" s="125">
        <f t="shared" si="1"/>
        <v>3.6063835269738087E-3</v>
      </c>
    </row>
    <row r="31" spans="1:13" x14ac:dyDescent="0.25">
      <c r="A31" s="215" t="s">
        <v>4</v>
      </c>
      <c r="B31" s="222">
        <v>14704.3</v>
      </c>
      <c r="C31" s="118">
        <v>501.35356000000002</v>
      </c>
      <c r="D31" s="221">
        <f t="shared" si="0"/>
        <v>3.4095710778479768E-2</v>
      </c>
      <c r="E31" s="128"/>
      <c r="F31" s="119"/>
      <c r="G31" s="120"/>
      <c r="H31" s="144">
        <v>5160.53</v>
      </c>
      <c r="K31" s="123"/>
      <c r="L31" s="124">
        <f t="shared" si="2"/>
        <v>5160.53</v>
      </c>
      <c r="M31" s="125">
        <f t="shared" si="1"/>
        <v>0.38504951340764271</v>
      </c>
    </row>
    <row r="32" spans="1:13" x14ac:dyDescent="0.25">
      <c r="A32" s="215" t="s">
        <v>86</v>
      </c>
      <c r="B32" s="222">
        <v>5698082.7000000002</v>
      </c>
      <c r="C32" s="220">
        <v>164285</v>
      </c>
      <c r="D32" s="221">
        <f t="shared" si="0"/>
        <v>2.8831627873705658E-2</v>
      </c>
      <c r="E32" s="128">
        <v>0.1</v>
      </c>
      <c r="F32" s="132">
        <f>IF(E32&gt;D32, E32*B32-C32, 0)</f>
        <v>405523.27</v>
      </c>
      <c r="G32" s="120">
        <f>IF(F32&gt;SUM(H32:K32), F32-SUM(H32:K32), 0)</f>
        <v>378923.27</v>
      </c>
      <c r="H32" s="121"/>
      <c r="J32" s="122">
        <v>26600</v>
      </c>
      <c r="K32" s="120"/>
      <c r="L32" s="124">
        <f t="shared" si="2"/>
        <v>405523.27</v>
      </c>
      <c r="M32" s="125">
        <f t="shared" si="1"/>
        <v>0.1</v>
      </c>
    </row>
    <row r="33" spans="1:13" x14ac:dyDescent="0.25">
      <c r="A33" s="215" t="s">
        <v>191</v>
      </c>
      <c r="B33" s="222">
        <v>119605.5</v>
      </c>
      <c r="C33" s="118">
        <v>92.901287999999994</v>
      </c>
      <c r="D33" s="221">
        <f t="shared" si="0"/>
        <v>7.7673090284309662E-4</v>
      </c>
      <c r="E33" s="128"/>
      <c r="F33" s="119"/>
      <c r="G33" s="120"/>
      <c r="H33" s="121"/>
      <c r="K33" s="123"/>
      <c r="L33" s="124">
        <f t="shared" si="2"/>
        <v>0</v>
      </c>
      <c r="M33" s="125">
        <f t="shared" si="1"/>
        <v>7.7673090284309662E-4</v>
      </c>
    </row>
    <row r="34" spans="1:13" x14ac:dyDescent="0.25">
      <c r="A34" s="215" t="s">
        <v>158</v>
      </c>
      <c r="B34" s="222">
        <v>3657313</v>
      </c>
      <c r="C34" s="220">
        <v>1061245</v>
      </c>
      <c r="D34" s="221">
        <f t="shared" si="0"/>
        <v>0.290170679950007</v>
      </c>
      <c r="E34" s="128"/>
      <c r="F34" s="119"/>
      <c r="G34" s="120"/>
      <c r="H34" s="121"/>
      <c r="J34" s="122">
        <v>150000</v>
      </c>
      <c r="K34" s="123"/>
      <c r="L34" s="124">
        <f t="shared" si="2"/>
        <v>150000</v>
      </c>
      <c r="M34" s="125">
        <f t="shared" si="1"/>
        <v>0.33118439685091211</v>
      </c>
    </row>
    <row r="35" spans="1:13" x14ac:dyDescent="0.25">
      <c r="A35" s="215" t="s">
        <v>26</v>
      </c>
      <c r="B35" s="222">
        <v>878364.1</v>
      </c>
      <c r="C35" s="220">
        <v>47496</v>
      </c>
      <c r="D35" s="221">
        <f t="shared" si="0"/>
        <v>5.4073248212216325E-2</v>
      </c>
      <c r="E35" s="128"/>
      <c r="F35" s="131"/>
      <c r="G35" s="120"/>
      <c r="H35" s="121"/>
      <c r="I35" s="122">
        <v>400</v>
      </c>
      <c r="K35" s="123"/>
      <c r="L35" s="124">
        <f t="shared" si="2"/>
        <v>400</v>
      </c>
      <c r="M35" s="125">
        <f t="shared" si="1"/>
        <v>5.4528640230173342E-2</v>
      </c>
    </row>
    <row r="36" spans="1:13" x14ac:dyDescent="0.25">
      <c r="A36" s="215" t="s">
        <v>192</v>
      </c>
      <c r="B36" s="222">
        <v>330035.5</v>
      </c>
      <c r="C36" s="118">
        <v>0.75351599999999996</v>
      </c>
      <c r="D36" s="221">
        <f t="shared" si="0"/>
        <v>2.2831362080745858E-6</v>
      </c>
      <c r="E36" s="128"/>
      <c r="F36" s="119"/>
      <c r="G36" s="120"/>
      <c r="H36" s="121"/>
      <c r="K36" s="123"/>
      <c r="L36" s="124">
        <f t="shared" si="2"/>
        <v>0</v>
      </c>
      <c r="M36" s="125">
        <f t="shared" si="1"/>
        <v>2.2831362080745858E-6</v>
      </c>
    </row>
    <row r="37" spans="1:13" x14ac:dyDescent="0.25">
      <c r="A37" s="215" t="s">
        <v>356</v>
      </c>
      <c r="B37" s="222">
        <v>433990.29075660626</v>
      </c>
      <c r="C37" s="130">
        <v>0</v>
      </c>
      <c r="D37" s="221">
        <f t="shared" si="0"/>
        <v>0</v>
      </c>
      <c r="E37" s="128"/>
      <c r="F37" s="119"/>
      <c r="G37" s="120"/>
      <c r="H37" s="121"/>
      <c r="K37" s="123"/>
      <c r="L37" s="124">
        <f t="shared" si="2"/>
        <v>0</v>
      </c>
      <c r="M37" s="125">
        <f t="shared" si="1"/>
        <v>0</v>
      </c>
    </row>
    <row r="38" spans="1:13" x14ac:dyDescent="0.25">
      <c r="A38" s="215" t="s">
        <v>193</v>
      </c>
      <c r="B38" s="222">
        <v>470116.6</v>
      </c>
      <c r="C38" s="118">
        <v>26.294478000000002</v>
      </c>
      <c r="D38" s="221">
        <f t="shared" si="0"/>
        <v>5.5931822020324324E-5</v>
      </c>
      <c r="E38" s="128"/>
      <c r="F38" s="119"/>
      <c r="G38" s="120"/>
      <c r="H38" s="121"/>
      <c r="K38" s="123"/>
      <c r="L38" s="124">
        <f t="shared" si="2"/>
        <v>0</v>
      </c>
      <c r="M38" s="125">
        <f t="shared" si="1"/>
        <v>5.5931822020324324E-5</v>
      </c>
    </row>
    <row r="39" spans="1:13" x14ac:dyDescent="0.25">
      <c r="A39" s="215" t="s">
        <v>172</v>
      </c>
      <c r="B39" s="222">
        <v>730741.8</v>
      </c>
      <c r="C39" s="220">
        <v>124544</v>
      </c>
      <c r="D39" s="221">
        <f t="shared" si="0"/>
        <v>0.17043502917172659</v>
      </c>
      <c r="E39" s="128"/>
      <c r="F39" s="131"/>
      <c r="G39" s="120"/>
      <c r="H39" s="121"/>
      <c r="K39" s="123"/>
      <c r="L39" s="124">
        <f t="shared" si="2"/>
        <v>0</v>
      </c>
      <c r="M39" s="125">
        <f t="shared" si="1"/>
        <v>0.17043502917172659</v>
      </c>
    </row>
    <row r="40" spans="1:13" x14ac:dyDescent="0.25">
      <c r="A40" s="215" t="s">
        <v>5</v>
      </c>
      <c r="B40" s="222">
        <v>165505.1</v>
      </c>
      <c r="C40" s="118">
        <v>37.464378000000004</v>
      </c>
      <c r="D40" s="221">
        <f t="shared" si="0"/>
        <v>2.2636388848440322E-4</v>
      </c>
      <c r="E40" s="128">
        <v>0.1</v>
      </c>
      <c r="F40" s="139" t="s">
        <v>358</v>
      </c>
      <c r="G40" s="120"/>
      <c r="H40" s="144">
        <f>0.21*B40-C40</f>
        <v>34718.606622000007</v>
      </c>
      <c r="K40" s="123"/>
      <c r="L40" s="124">
        <f t="shared" si="2"/>
        <v>34718.606622000007</v>
      </c>
      <c r="M40" s="125">
        <f t="shared" si="1"/>
        <v>0.21000000000000002</v>
      </c>
    </row>
    <row r="41" spans="1:13" x14ac:dyDescent="0.25">
      <c r="A41" s="215" t="s">
        <v>87</v>
      </c>
      <c r="B41" s="222">
        <v>39863.599999999999</v>
      </c>
      <c r="C41" s="118">
        <v>1280.313273</v>
      </c>
      <c r="D41" s="221">
        <f t="shared" si="0"/>
        <v>3.2117351995303987E-2</v>
      </c>
      <c r="E41" s="128">
        <v>0.05</v>
      </c>
      <c r="F41" s="132">
        <f>IF(E41&gt;D41, E41*B41-C41, 0)</f>
        <v>712.86672700000008</v>
      </c>
      <c r="G41" s="120">
        <f>IF(F41&gt;SUM(H41:K41), F41-SUM(H41:K41), 0)</f>
        <v>562.86672700000008</v>
      </c>
      <c r="H41" s="121"/>
      <c r="I41" s="122">
        <v>150</v>
      </c>
      <c r="K41" s="120"/>
      <c r="L41" s="124">
        <f t="shared" si="2"/>
        <v>712.86672700000008</v>
      </c>
      <c r="M41" s="125">
        <f t="shared" si="1"/>
        <v>0.05</v>
      </c>
    </row>
    <row r="42" spans="1:13" x14ac:dyDescent="0.25">
      <c r="A42" s="215" t="s">
        <v>156</v>
      </c>
      <c r="B42" s="222">
        <v>1972842.4</v>
      </c>
      <c r="C42" s="220">
        <v>1981970</v>
      </c>
      <c r="D42" s="221">
        <v>1</v>
      </c>
      <c r="E42" s="128"/>
      <c r="F42" s="131"/>
      <c r="G42" s="120"/>
      <c r="H42" s="121"/>
      <c r="J42" s="122">
        <v>0</v>
      </c>
      <c r="K42" s="123"/>
      <c r="L42" s="124">
        <f t="shared" si="2"/>
        <v>0</v>
      </c>
      <c r="M42" s="125">
        <f t="shared" si="1"/>
        <v>1.0046266240019983</v>
      </c>
    </row>
    <row r="43" spans="1:13" x14ac:dyDescent="0.25">
      <c r="A43" s="215" t="s">
        <v>6</v>
      </c>
      <c r="B43" s="222">
        <v>576110.19999999995</v>
      </c>
      <c r="C43" s="118">
        <v>4801.5741159999998</v>
      </c>
      <c r="D43" s="221">
        <f t="shared" ref="D43:D74" si="3">C43/B43</f>
        <v>8.3344716271296707E-3</v>
      </c>
      <c r="E43" s="128">
        <v>0.04</v>
      </c>
      <c r="F43" s="132">
        <f>IF(E43&gt;D43, E43*B43-C43, 0)</f>
        <v>18242.833884</v>
      </c>
      <c r="G43" s="120">
        <f>IF(F43&gt;SUM(H43:K43), F43-SUM(H43:K43), 0)</f>
        <v>10177.291084</v>
      </c>
      <c r="H43" s="144">
        <f>0.014*B43</f>
        <v>8065.5427999999993</v>
      </c>
      <c r="K43" s="120"/>
      <c r="L43" s="124">
        <f t="shared" si="2"/>
        <v>18242.833884</v>
      </c>
      <c r="M43" s="125">
        <f t="shared" si="1"/>
        <v>0.04</v>
      </c>
    </row>
    <row r="44" spans="1:13" x14ac:dyDescent="0.25">
      <c r="A44" s="215" t="s">
        <v>194</v>
      </c>
      <c r="B44" s="222">
        <v>174842.2</v>
      </c>
      <c r="C44" s="118">
        <v>130.37264500000001</v>
      </c>
      <c r="D44" s="221">
        <f t="shared" si="3"/>
        <v>7.4565891415230416E-4</v>
      </c>
      <c r="E44" s="128"/>
      <c r="F44" s="119"/>
      <c r="G44" s="120"/>
      <c r="H44" s="121"/>
      <c r="K44" s="123"/>
      <c r="L44" s="124">
        <f t="shared" si="2"/>
        <v>0</v>
      </c>
      <c r="M44" s="125">
        <f t="shared" si="1"/>
        <v>7.4565891415230416E-4</v>
      </c>
    </row>
    <row r="45" spans="1:13" x14ac:dyDescent="0.25">
      <c r="A45" s="215" t="s">
        <v>195</v>
      </c>
      <c r="B45" s="222">
        <v>55462.400000000001</v>
      </c>
      <c r="C45" s="118">
        <v>4737.0565120000001</v>
      </c>
      <c r="D45" s="221">
        <f t="shared" si="3"/>
        <v>8.5410233094853447E-2</v>
      </c>
      <c r="E45" s="128"/>
      <c r="F45" s="119"/>
      <c r="G45" s="120"/>
      <c r="H45" s="121"/>
      <c r="K45" s="123"/>
      <c r="L45" s="124">
        <f t="shared" si="2"/>
        <v>0</v>
      </c>
      <c r="M45" s="125">
        <f t="shared" si="1"/>
        <v>8.5410233094853447E-2</v>
      </c>
    </row>
    <row r="46" spans="1:13" x14ac:dyDescent="0.25">
      <c r="A46" s="215" t="s">
        <v>7</v>
      </c>
      <c r="B46" s="222">
        <v>365755.7</v>
      </c>
      <c r="C46" s="118">
        <v>15818.76605</v>
      </c>
      <c r="D46" s="221">
        <f t="shared" si="3"/>
        <v>4.3249540745366376E-2</v>
      </c>
      <c r="E46" s="128">
        <v>0.27</v>
      </c>
      <c r="F46" s="132">
        <f>IF(E46&gt;D46, E46*B46-C46, 0)</f>
        <v>82935.272949999999</v>
      </c>
      <c r="G46" s="120">
        <f>IF(F46&gt;SUM(H46:K46), F46-SUM(H46:K46), 0)</f>
        <v>71962.601949999997</v>
      </c>
      <c r="H46" s="147">
        <f>0.03*B46</f>
        <v>10972.671</v>
      </c>
      <c r="K46" s="120"/>
      <c r="L46" s="124">
        <f t="shared" si="2"/>
        <v>82935.272949999999</v>
      </c>
      <c r="M46" s="125">
        <f t="shared" si="1"/>
        <v>0.27</v>
      </c>
    </row>
    <row r="47" spans="1:13" x14ac:dyDescent="0.25">
      <c r="A47" s="215" t="s">
        <v>196</v>
      </c>
      <c r="B47" s="222">
        <v>30535</v>
      </c>
      <c r="C47" s="223">
        <v>12</v>
      </c>
      <c r="D47" s="221">
        <f t="shared" si="3"/>
        <v>3.929916489274603E-4</v>
      </c>
      <c r="E47" s="128"/>
      <c r="F47" s="131"/>
      <c r="G47" s="120"/>
      <c r="H47" s="121"/>
      <c r="K47" s="123"/>
      <c r="L47" s="124">
        <f t="shared" si="2"/>
        <v>0</v>
      </c>
      <c r="M47" s="125">
        <f t="shared" si="1"/>
        <v>3.929916489274603E-4</v>
      </c>
    </row>
    <row r="48" spans="1:13" x14ac:dyDescent="0.25">
      <c r="A48" s="215" t="s">
        <v>197</v>
      </c>
      <c r="B48" s="222">
        <v>98279.5</v>
      </c>
      <c r="C48" s="118">
        <v>120.604817</v>
      </c>
      <c r="D48" s="221">
        <f t="shared" si="3"/>
        <v>1.2271614833205297E-3</v>
      </c>
      <c r="E48" s="128"/>
      <c r="F48" s="119"/>
      <c r="G48" s="120"/>
      <c r="H48" s="121"/>
      <c r="K48" s="123"/>
      <c r="L48" s="124">
        <f t="shared" si="2"/>
        <v>0</v>
      </c>
      <c r="M48" s="125">
        <f t="shared" si="1"/>
        <v>1.2271614833205297E-3</v>
      </c>
    </row>
    <row r="49" spans="1:17" x14ac:dyDescent="0.25">
      <c r="A49" s="215" t="s">
        <v>198</v>
      </c>
      <c r="B49" s="222">
        <v>115967.3</v>
      </c>
      <c r="C49" s="130">
        <v>25.611910999999999</v>
      </c>
      <c r="D49" s="221">
        <f t="shared" si="3"/>
        <v>2.2085459435547779E-4</v>
      </c>
      <c r="E49" s="128"/>
      <c r="F49" s="119"/>
      <c r="G49" s="120"/>
      <c r="H49" s="126"/>
      <c r="I49" s="127"/>
      <c r="J49" s="127"/>
      <c r="K49" s="123"/>
      <c r="L49" s="124">
        <f t="shared" si="2"/>
        <v>0</v>
      </c>
      <c r="M49" s="125">
        <f t="shared" si="1"/>
        <v>2.2085459435547779E-4</v>
      </c>
    </row>
    <row r="50" spans="1:17" x14ac:dyDescent="0.25">
      <c r="A50" s="215" t="s">
        <v>199</v>
      </c>
      <c r="B50" s="222">
        <v>13265.4</v>
      </c>
      <c r="C50" s="130">
        <v>31.363658999999998</v>
      </c>
      <c r="D50" s="221">
        <f t="shared" si="3"/>
        <v>2.3643206386539418E-3</v>
      </c>
      <c r="E50" s="128"/>
      <c r="F50" s="131"/>
      <c r="G50" s="120"/>
      <c r="H50" s="126"/>
      <c r="I50" s="127"/>
      <c r="J50" s="127"/>
      <c r="K50" s="123"/>
      <c r="L50" s="124">
        <f t="shared" si="2"/>
        <v>0</v>
      </c>
      <c r="M50" s="125">
        <f t="shared" si="1"/>
        <v>2.3643206386539418E-3</v>
      </c>
    </row>
    <row r="51" spans="1:17" x14ac:dyDescent="0.25">
      <c r="A51" s="215" t="s">
        <v>200</v>
      </c>
      <c r="B51" s="222">
        <v>100469.8</v>
      </c>
      <c r="C51" s="118">
        <v>17932.88279</v>
      </c>
      <c r="D51" s="221">
        <f t="shared" si="3"/>
        <v>0.17849028056192009</v>
      </c>
      <c r="E51" s="128"/>
      <c r="F51" s="131"/>
      <c r="G51" s="120"/>
      <c r="H51" s="121"/>
      <c r="K51" s="123"/>
      <c r="L51" s="124">
        <f t="shared" si="2"/>
        <v>0</v>
      </c>
      <c r="M51" s="125">
        <f t="shared" si="1"/>
        <v>0.17849028056192009</v>
      </c>
    </row>
    <row r="52" spans="1:17" x14ac:dyDescent="0.25">
      <c r="A52" s="215" t="s">
        <v>145</v>
      </c>
      <c r="B52" s="222">
        <v>7031.1</v>
      </c>
      <c r="C52" s="118">
        <v>11.802761</v>
      </c>
      <c r="D52" s="221">
        <f t="shared" si="3"/>
        <v>1.6786507089929029E-3</v>
      </c>
      <c r="E52" s="128"/>
      <c r="F52" s="119"/>
      <c r="G52" s="120"/>
      <c r="H52" s="121"/>
      <c r="I52" s="122">
        <v>290</v>
      </c>
      <c r="K52" s="123"/>
      <c r="L52" s="124">
        <f t="shared" si="2"/>
        <v>290</v>
      </c>
      <c r="M52" s="125">
        <f t="shared" si="1"/>
        <v>4.2923975053690028E-2</v>
      </c>
    </row>
    <row r="53" spans="1:17" x14ac:dyDescent="0.25">
      <c r="A53" s="215" t="s">
        <v>89</v>
      </c>
      <c r="B53" s="222">
        <v>28749.200000000001</v>
      </c>
      <c r="C53" s="223">
        <v>10</v>
      </c>
      <c r="D53" s="221">
        <f t="shared" si="3"/>
        <v>3.4783576586478929E-4</v>
      </c>
      <c r="E53" s="128">
        <v>0.15</v>
      </c>
      <c r="F53" s="132">
        <f>IF(E53&gt;D53, E53*B53-C53, 0)</f>
        <v>4302.38</v>
      </c>
      <c r="G53" s="120">
        <f>IF(F53&gt;SUM(H53:K53), F53-SUM(H53:K53), 0)</f>
        <v>4302.38</v>
      </c>
      <c r="H53" s="121"/>
      <c r="K53" s="120"/>
      <c r="L53" s="124">
        <f t="shared" si="2"/>
        <v>4302.38</v>
      </c>
      <c r="M53" s="125">
        <f t="shared" si="1"/>
        <v>0.15</v>
      </c>
    </row>
    <row r="54" spans="1:17" x14ac:dyDescent="0.25">
      <c r="A54" s="215" t="s">
        <v>132</v>
      </c>
      <c r="B54" s="222">
        <v>270774.2</v>
      </c>
      <c r="C54" s="220">
        <v>48606</v>
      </c>
      <c r="D54" s="221">
        <f t="shared" si="3"/>
        <v>0.17950750108392896</v>
      </c>
      <c r="E54" s="128"/>
      <c r="F54" s="131"/>
      <c r="G54" s="120"/>
      <c r="H54" s="121"/>
      <c r="K54" s="120">
        <f>B54*0.2-C54-G54-H54-I54-J54</f>
        <v>5548.8400000000038</v>
      </c>
      <c r="L54" s="124">
        <f t="shared" si="2"/>
        <v>5548.8400000000038</v>
      </c>
      <c r="M54" s="125">
        <f t="shared" si="1"/>
        <v>0.2</v>
      </c>
    </row>
    <row r="55" spans="1:17" x14ac:dyDescent="0.25">
      <c r="A55" s="215" t="s">
        <v>146</v>
      </c>
      <c r="B55" s="222">
        <v>1079901.1000000001</v>
      </c>
      <c r="C55" s="220">
        <v>144123</v>
      </c>
      <c r="D55" s="221">
        <f t="shared" si="3"/>
        <v>0.13345944364720064</v>
      </c>
      <c r="E55" s="128" t="s">
        <v>448</v>
      </c>
      <c r="F55" s="119">
        <v>0</v>
      </c>
      <c r="G55" s="120">
        <v>0</v>
      </c>
      <c r="H55" s="121"/>
      <c r="I55" s="122">
        <v>150</v>
      </c>
      <c r="K55" s="123"/>
      <c r="L55" s="124">
        <f t="shared" si="2"/>
        <v>150</v>
      </c>
      <c r="M55" s="125">
        <f t="shared" si="1"/>
        <v>0.13359834525587574</v>
      </c>
    </row>
    <row r="56" spans="1:17" x14ac:dyDescent="0.25">
      <c r="A56" s="215" t="s">
        <v>201</v>
      </c>
      <c r="B56" s="222">
        <v>236612.1</v>
      </c>
      <c r="C56" s="118">
        <v>11715.816779999999</v>
      </c>
      <c r="D56" s="221">
        <f t="shared" si="3"/>
        <v>4.9514867498323199E-2</v>
      </c>
      <c r="E56" s="128">
        <v>0.05</v>
      </c>
      <c r="F56" s="139" t="s">
        <v>358</v>
      </c>
      <c r="G56" s="120"/>
      <c r="H56" s="121"/>
      <c r="K56" s="123"/>
      <c r="L56" s="124">
        <f t="shared" si="2"/>
        <v>0</v>
      </c>
      <c r="M56" s="125">
        <f t="shared" si="1"/>
        <v>4.9514867498323199E-2</v>
      </c>
    </row>
    <row r="57" spans="1:17" x14ac:dyDescent="0.25">
      <c r="A57" s="215" t="s">
        <v>147</v>
      </c>
      <c r="B57" s="222">
        <v>94238</v>
      </c>
      <c r="C57" s="118">
        <v>664.79885200000001</v>
      </c>
      <c r="D57" s="221">
        <f t="shared" si="3"/>
        <v>7.0544669029478559E-3</v>
      </c>
      <c r="E57" s="128"/>
      <c r="F57" s="131"/>
      <c r="G57" s="120"/>
      <c r="H57" s="121"/>
      <c r="K57" s="123"/>
      <c r="L57" s="124">
        <f t="shared" si="2"/>
        <v>0</v>
      </c>
      <c r="M57" s="125">
        <f t="shared" si="1"/>
        <v>7.0544669029478559E-3</v>
      </c>
    </row>
    <row r="58" spans="1:17" x14ac:dyDescent="0.25">
      <c r="A58" s="215" t="s">
        <v>202</v>
      </c>
      <c r="B58" s="222">
        <v>310365.40000000002</v>
      </c>
      <c r="C58" s="118">
        <v>729.71496200000001</v>
      </c>
      <c r="D58" s="221">
        <f t="shared" si="3"/>
        <v>2.3511479114617802E-3</v>
      </c>
      <c r="E58" s="128"/>
      <c r="F58" s="119"/>
      <c r="G58" s="120"/>
      <c r="H58" s="144">
        <f>0.05*B58-C58</f>
        <v>14788.555038000002</v>
      </c>
      <c r="K58" s="123"/>
      <c r="L58" s="124">
        <f t="shared" si="2"/>
        <v>14788.555038000002</v>
      </c>
      <c r="M58" s="125">
        <f t="shared" si="1"/>
        <v>0.05</v>
      </c>
    </row>
    <row r="59" spans="1:17" x14ac:dyDescent="0.25">
      <c r="A59" s="215" t="s">
        <v>8</v>
      </c>
      <c r="B59" s="224">
        <v>78827.414842185244</v>
      </c>
      <c r="C59" s="118">
        <v>0</v>
      </c>
      <c r="D59" s="221">
        <f t="shared" si="3"/>
        <v>0</v>
      </c>
      <c r="E59" s="138" t="s">
        <v>443</v>
      </c>
      <c r="F59" s="133">
        <v>3605.94</v>
      </c>
      <c r="G59" s="120">
        <f>IF(F59&gt;SUM(H59:K59), F59-SUM(H59:K59), 0)</f>
        <v>0</v>
      </c>
      <c r="H59" s="144">
        <v>3605.94</v>
      </c>
      <c r="K59" s="120"/>
      <c r="L59" s="124">
        <f t="shared" si="2"/>
        <v>3605.94</v>
      </c>
      <c r="M59" s="125">
        <f t="shared" si="1"/>
        <v>4.5744745114617749E-2</v>
      </c>
    </row>
    <row r="60" spans="1:17" x14ac:dyDescent="0.25">
      <c r="A60" s="215" t="s">
        <v>203</v>
      </c>
      <c r="B60" s="222">
        <v>36346.400000000001</v>
      </c>
      <c r="C60" s="118">
        <v>6767.785989</v>
      </c>
      <c r="D60" s="221">
        <f t="shared" si="3"/>
        <v>0.18620237462307132</v>
      </c>
      <c r="E60" s="128"/>
      <c r="F60" s="119"/>
      <c r="G60" s="114"/>
      <c r="H60" s="121"/>
      <c r="K60" s="123"/>
      <c r="L60" s="124">
        <f t="shared" si="2"/>
        <v>0</v>
      </c>
      <c r="M60" s="125">
        <f t="shared" si="1"/>
        <v>0.18620237462307132</v>
      </c>
    </row>
    <row r="61" spans="1:17" x14ac:dyDescent="0.25">
      <c r="A61" s="215" t="s">
        <v>204</v>
      </c>
      <c r="B61" s="222">
        <v>549091.6</v>
      </c>
      <c r="C61" s="130">
        <v>52.093516999999999</v>
      </c>
      <c r="D61" s="221">
        <f t="shared" si="3"/>
        <v>9.4872179796594953E-5</v>
      </c>
      <c r="E61" s="128"/>
      <c r="F61" s="119"/>
      <c r="G61" s="120"/>
      <c r="H61" s="126"/>
      <c r="I61" s="127"/>
      <c r="J61" s="127"/>
      <c r="K61" s="123"/>
      <c r="L61" s="124">
        <f t="shared" si="2"/>
        <v>0</v>
      </c>
      <c r="M61" s="125">
        <f t="shared" si="1"/>
        <v>9.4872179796594953E-5</v>
      </c>
    </row>
    <row r="62" spans="1:17" x14ac:dyDescent="0.25">
      <c r="A62" s="215" t="s">
        <v>205</v>
      </c>
      <c r="B62" s="222">
        <v>266720.40000000002</v>
      </c>
      <c r="C62" s="118">
        <v>28.889108</v>
      </c>
      <c r="D62" s="221">
        <f t="shared" si="3"/>
        <v>1.083123300654918E-4</v>
      </c>
      <c r="E62" s="128"/>
      <c r="F62" s="119"/>
      <c r="G62" s="120"/>
      <c r="H62" s="121"/>
      <c r="K62" s="123"/>
      <c r="L62" s="124">
        <f t="shared" si="2"/>
        <v>0</v>
      </c>
      <c r="M62" s="125">
        <f t="shared" si="1"/>
        <v>1.083123300654918E-4</v>
      </c>
    </row>
    <row r="63" spans="1:17" x14ac:dyDescent="0.25">
      <c r="A63" s="215" t="s">
        <v>148</v>
      </c>
      <c r="B63" s="222">
        <v>1293034.7</v>
      </c>
      <c r="C63" s="118">
        <v>11959.01476</v>
      </c>
      <c r="D63" s="221">
        <f t="shared" si="3"/>
        <v>9.2487964630802253E-3</v>
      </c>
      <c r="E63" s="128"/>
      <c r="F63" s="119"/>
      <c r="G63" s="120"/>
      <c r="H63" s="121"/>
      <c r="I63" s="122">
        <v>55.34</v>
      </c>
      <c r="K63" s="120">
        <f>0.3*B63-C63</f>
        <v>375951.39523999998</v>
      </c>
      <c r="L63" s="124">
        <f t="shared" si="2"/>
        <v>376006.73524000001</v>
      </c>
      <c r="M63" s="125">
        <f t="shared" si="1"/>
        <v>0.30004279854206545</v>
      </c>
    </row>
    <row r="64" spans="1:17" x14ac:dyDescent="0.25">
      <c r="A64" s="215" t="s">
        <v>93</v>
      </c>
      <c r="B64" s="222">
        <v>79467.8</v>
      </c>
      <c r="C64" s="118">
        <v>8352.0576789999996</v>
      </c>
      <c r="D64" s="221">
        <f t="shared" si="3"/>
        <v>0.10509989805933975</v>
      </c>
      <c r="E64" s="128">
        <v>0.1</v>
      </c>
      <c r="F64" s="132">
        <f>IF(E64&gt;D64, E64*B64-C64, 0)</f>
        <v>0</v>
      </c>
      <c r="G64" s="120">
        <f>IF(F64&gt;SUM(H64:K64), F64-SUM(H64:K64), 0)</f>
        <v>0</v>
      </c>
      <c r="H64" s="121"/>
      <c r="K64" s="120"/>
      <c r="L64" s="124">
        <f t="shared" si="2"/>
        <v>0</v>
      </c>
      <c r="M64" s="125">
        <f t="shared" si="1"/>
        <v>0.10509989805933975</v>
      </c>
      <c r="P64" s="31"/>
      <c r="Q64" s="34"/>
    </row>
    <row r="65" spans="1:17" x14ac:dyDescent="0.25">
      <c r="A65" s="215" t="s">
        <v>206</v>
      </c>
      <c r="B65" s="222">
        <v>343866.4</v>
      </c>
      <c r="C65" s="220">
        <v>154848</v>
      </c>
      <c r="D65" s="221">
        <f t="shared" si="3"/>
        <v>0.45031442443925895</v>
      </c>
      <c r="E65" s="128"/>
      <c r="F65" s="131"/>
      <c r="G65" s="120"/>
      <c r="H65" s="121"/>
      <c r="K65" s="123"/>
      <c r="L65" s="124">
        <f t="shared" si="2"/>
        <v>0</v>
      </c>
      <c r="M65" s="125">
        <f t="shared" si="1"/>
        <v>0.45031442443925895</v>
      </c>
      <c r="P65" s="31"/>
      <c r="Q65" s="34"/>
    </row>
    <row r="66" spans="1:17" x14ac:dyDescent="0.25">
      <c r="A66" s="215" t="s">
        <v>207</v>
      </c>
      <c r="B66" s="222">
        <v>136563.79999999999</v>
      </c>
      <c r="C66" s="220">
        <v>1366</v>
      </c>
      <c r="D66" s="221">
        <f t="shared" si="3"/>
        <v>1.0002650775681405E-2</v>
      </c>
      <c r="E66" s="128"/>
      <c r="F66" s="119"/>
      <c r="G66" s="120"/>
      <c r="H66" s="121"/>
      <c r="K66" s="123"/>
      <c r="L66" s="124">
        <f t="shared" si="2"/>
        <v>0</v>
      </c>
      <c r="M66" s="125">
        <f t="shared" ref="M66:M129" si="4">(L66+C66)/B66</f>
        <v>1.0002650775681405E-2</v>
      </c>
      <c r="P66" s="31"/>
      <c r="Q66" s="34"/>
    </row>
    <row r="67" spans="1:17" x14ac:dyDescent="0.25">
      <c r="A67" s="215" t="s">
        <v>168</v>
      </c>
      <c r="B67" s="222">
        <v>4795468.0999999996</v>
      </c>
      <c r="C67" s="118">
        <v>206.943116</v>
      </c>
      <c r="D67" s="221">
        <f t="shared" si="3"/>
        <v>4.3153892734684237E-5</v>
      </c>
      <c r="E67" s="128"/>
      <c r="F67" s="119"/>
      <c r="G67" s="120"/>
      <c r="H67" s="121"/>
      <c r="J67" s="122">
        <v>4795261.0568840001</v>
      </c>
      <c r="K67" s="123"/>
      <c r="L67" s="124">
        <f t="shared" ref="L67:L130" si="5">SUM(G67:K67)</f>
        <v>4795261.0568840001</v>
      </c>
      <c r="M67" s="125">
        <f t="shared" si="4"/>
        <v>0.99999997914697847</v>
      </c>
      <c r="P67" s="31"/>
      <c r="Q67" s="34"/>
    </row>
    <row r="68" spans="1:17" x14ac:dyDescent="0.25">
      <c r="A68" s="215" t="s">
        <v>208</v>
      </c>
      <c r="B68" s="222">
        <v>2277433</v>
      </c>
      <c r="C68" s="220">
        <v>1702575</v>
      </c>
      <c r="D68" s="221">
        <f t="shared" si="3"/>
        <v>0.74758511007788153</v>
      </c>
      <c r="E68" s="128"/>
      <c r="F68" s="119"/>
      <c r="G68" s="120"/>
      <c r="H68" s="126"/>
      <c r="I68" s="127"/>
      <c r="J68" s="127"/>
      <c r="K68" s="123"/>
      <c r="L68" s="124">
        <f t="shared" si="5"/>
        <v>0</v>
      </c>
      <c r="M68" s="125">
        <f t="shared" si="4"/>
        <v>0.74758511007788153</v>
      </c>
      <c r="P68" s="31"/>
      <c r="Q68" s="34"/>
    </row>
    <row r="69" spans="1:17" x14ac:dyDescent="0.25">
      <c r="A69" s="215" t="s">
        <v>30</v>
      </c>
      <c r="B69" s="222">
        <v>193292.3</v>
      </c>
      <c r="C69" s="220">
        <v>55711</v>
      </c>
      <c r="D69" s="221">
        <f t="shared" si="3"/>
        <v>0.28822151735997764</v>
      </c>
      <c r="E69" s="128"/>
      <c r="F69" s="119"/>
      <c r="G69" s="120"/>
      <c r="H69" s="121"/>
      <c r="K69" s="123"/>
      <c r="L69" s="124">
        <f t="shared" si="5"/>
        <v>0</v>
      </c>
      <c r="M69" s="125">
        <f t="shared" si="4"/>
        <v>0.28822151735997764</v>
      </c>
      <c r="P69" s="31"/>
      <c r="Q69" s="34"/>
    </row>
    <row r="70" spans="1:17" x14ac:dyDescent="0.25">
      <c r="A70" s="215" t="s">
        <v>209</v>
      </c>
      <c r="B70" s="222">
        <v>22745.5</v>
      </c>
      <c r="C70" s="118">
        <v>15.848758999999999</v>
      </c>
      <c r="D70" s="221">
        <f t="shared" si="3"/>
        <v>6.9678657316831903E-4</v>
      </c>
      <c r="E70" s="128">
        <v>0.1</v>
      </c>
      <c r="F70" s="132">
        <f>IF(E70&gt;D70, E70*B70-C70, 0)</f>
        <v>2258.7012410000002</v>
      </c>
      <c r="G70" s="120">
        <f>IF(F70&gt;SUM(H70:K70), F70-SUM(H70:K70), 0)</f>
        <v>1978.7012410000002</v>
      </c>
      <c r="H70" s="121"/>
      <c r="I70" s="122">
        <v>280</v>
      </c>
      <c r="K70" s="120"/>
      <c r="L70" s="124">
        <f t="shared" si="5"/>
        <v>2258.7012410000002</v>
      </c>
      <c r="M70" s="125">
        <f t="shared" si="4"/>
        <v>0.1</v>
      </c>
      <c r="P70" s="31"/>
      <c r="Q70" s="34"/>
    </row>
    <row r="71" spans="1:17" x14ac:dyDescent="0.25">
      <c r="A71" s="215" t="s">
        <v>31</v>
      </c>
      <c r="B71" s="222">
        <v>22907</v>
      </c>
      <c r="C71" s="118">
        <v>152.96288999999999</v>
      </c>
      <c r="D71" s="221">
        <f t="shared" si="3"/>
        <v>6.6775610075522759E-3</v>
      </c>
      <c r="E71" s="171">
        <v>2.5000000000000001E-2</v>
      </c>
      <c r="F71" s="132">
        <f>IF(E71&gt;D71, E71*B71-C71, 0)</f>
        <v>419.71211000000005</v>
      </c>
      <c r="G71" s="120">
        <f>IF(F71&gt;SUM(H71:K71), F71-SUM(H71:K71), 0)</f>
        <v>419.71211000000005</v>
      </c>
      <c r="H71" s="121"/>
      <c r="K71" s="120"/>
      <c r="L71" s="124">
        <f t="shared" si="5"/>
        <v>419.71211000000005</v>
      </c>
      <c r="M71" s="125">
        <f t="shared" si="4"/>
        <v>2.5000000000000001E-2</v>
      </c>
      <c r="P71" s="31"/>
      <c r="Q71" s="34"/>
    </row>
    <row r="72" spans="1:17" x14ac:dyDescent="0.25">
      <c r="A72" s="215" t="s">
        <v>210</v>
      </c>
      <c r="B72" s="222">
        <v>56357.9</v>
      </c>
      <c r="C72" s="118">
        <v>25562.521260000001</v>
      </c>
      <c r="D72" s="221">
        <f t="shared" si="3"/>
        <v>0.45357476520594275</v>
      </c>
      <c r="E72" s="128"/>
      <c r="F72" s="131"/>
      <c r="G72" s="120"/>
      <c r="H72" s="121"/>
      <c r="K72" s="123"/>
      <c r="L72" s="124">
        <f t="shared" si="5"/>
        <v>0</v>
      </c>
      <c r="M72" s="125">
        <f t="shared" si="4"/>
        <v>0.45357476520594275</v>
      </c>
      <c r="P72" s="31"/>
      <c r="Q72" s="34"/>
    </row>
    <row r="73" spans="1:17" x14ac:dyDescent="0.25">
      <c r="A73" s="215" t="s">
        <v>211</v>
      </c>
      <c r="B73" s="222">
        <v>226758.6</v>
      </c>
      <c r="C73" s="118">
        <v>220.87734699999999</v>
      </c>
      <c r="D73" s="221">
        <f t="shared" si="3"/>
        <v>9.7406381499973973E-4</v>
      </c>
      <c r="E73" s="128">
        <v>0.1</v>
      </c>
      <c r="F73" s="139" t="s">
        <v>358</v>
      </c>
      <c r="G73" s="120"/>
      <c r="H73" s="121"/>
      <c r="K73" s="123"/>
      <c r="L73" s="124">
        <f t="shared" si="5"/>
        <v>0</v>
      </c>
      <c r="M73" s="125">
        <f t="shared" si="4"/>
        <v>9.7406381499973973E-4</v>
      </c>
      <c r="P73" s="31"/>
      <c r="Q73" s="34"/>
    </row>
    <row r="74" spans="1:17" x14ac:dyDescent="0.25">
      <c r="A74" s="215" t="s">
        <v>212</v>
      </c>
      <c r="B74" s="222">
        <v>426.7</v>
      </c>
      <c r="C74" s="118">
        <v>54.748775999999999</v>
      </c>
      <c r="D74" s="221">
        <f t="shared" si="3"/>
        <v>0.12830741973283338</v>
      </c>
      <c r="E74" s="128"/>
      <c r="F74" s="131"/>
      <c r="G74" s="120"/>
      <c r="H74" s="121"/>
      <c r="K74" s="123"/>
      <c r="L74" s="124">
        <f t="shared" si="5"/>
        <v>0</v>
      </c>
      <c r="M74" s="125">
        <f t="shared" si="4"/>
        <v>0.12830741973283338</v>
      </c>
      <c r="P74" s="31"/>
      <c r="Q74" s="34"/>
    </row>
    <row r="75" spans="1:17" x14ac:dyDescent="0.25">
      <c r="A75" s="215" t="s">
        <v>213</v>
      </c>
      <c r="B75" s="222">
        <v>494172.5</v>
      </c>
      <c r="C75" s="118">
        <v>22326.02563</v>
      </c>
      <c r="D75" s="221">
        <f t="shared" ref="D75:D106" si="6">C75/B75</f>
        <v>4.5178607935488113E-2</v>
      </c>
      <c r="E75" s="128"/>
      <c r="F75" s="119"/>
      <c r="G75" s="120"/>
      <c r="H75" s="121"/>
      <c r="J75" s="122">
        <f>0.2*B75-C75</f>
        <v>76508.474369999996</v>
      </c>
      <c r="K75" s="123"/>
      <c r="L75" s="124">
        <f t="shared" si="5"/>
        <v>76508.474369999996</v>
      </c>
      <c r="M75" s="125">
        <f t="shared" si="4"/>
        <v>0.2</v>
      </c>
    </row>
    <row r="76" spans="1:17" x14ac:dyDescent="0.25">
      <c r="A76" s="215" t="s">
        <v>214</v>
      </c>
      <c r="B76" s="222">
        <v>2264467.1</v>
      </c>
      <c r="C76" s="220">
        <v>102331</v>
      </c>
      <c r="D76" s="221">
        <f t="shared" si="6"/>
        <v>4.5189881539899605E-2</v>
      </c>
      <c r="E76" s="128"/>
      <c r="F76" s="119"/>
      <c r="G76" s="120"/>
      <c r="H76" s="121"/>
      <c r="K76" s="123"/>
      <c r="L76" s="124">
        <f t="shared" si="5"/>
        <v>0</v>
      </c>
      <c r="M76" s="125">
        <f t="shared" si="4"/>
        <v>4.5189881539899605E-2</v>
      </c>
    </row>
    <row r="77" spans="1:17" x14ac:dyDescent="0.25">
      <c r="A77" s="215" t="s">
        <v>96</v>
      </c>
      <c r="B77" s="222">
        <v>26281.5</v>
      </c>
      <c r="C77" s="118">
        <v>22.668296000000002</v>
      </c>
      <c r="D77" s="221">
        <f t="shared" si="6"/>
        <v>8.6251911040085237E-4</v>
      </c>
      <c r="E77" s="138" t="s">
        <v>348</v>
      </c>
      <c r="F77" s="132">
        <v>11</v>
      </c>
      <c r="G77" s="120">
        <f>IF(F77&gt;SUM(H77:J77), F77-SUM(H77:J77), 0)</f>
        <v>0</v>
      </c>
      <c r="H77" s="121"/>
      <c r="I77" s="122">
        <v>114</v>
      </c>
      <c r="J77" s="122">
        <v>1141.5366818366974</v>
      </c>
      <c r="K77" s="120">
        <f>B77*0.2-C77-G77-H77-I77-J77</f>
        <v>3978.0950221633029</v>
      </c>
      <c r="L77" s="124">
        <f t="shared" si="5"/>
        <v>5233.6317040000004</v>
      </c>
      <c r="M77" s="125">
        <f t="shared" si="4"/>
        <v>0.2</v>
      </c>
    </row>
    <row r="78" spans="1:17" x14ac:dyDescent="0.25">
      <c r="A78" s="215" t="s">
        <v>215</v>
      </c>
      <c r="B78" s="222">
        <v>91039.1</v>
      </c>
      <c r="C78" s="118">
        <v>90957.916370000006</v>
      </c>
      <c r="D78" s="221">
        <f t="shared" si="6"/>
        <v>0.99910825535401826</v>
      </c>
      <c r="E78" s="128"/>
      <c r="F78" s="119"/>
      <c r="G78" s="120"/>
      <c r="H78" s="121"/>
      <c r="K78" s="123"/>
      <c r="L78" s="124">
        <f t="shared" si="5"/>
        <v>0</v>
      </c>
      <c r="M78" s="125">
        <f t="shared" si="4"/>
        <v>0.99910825535401826</v>
      </c>
    </row>
    <row r="79" spans="1:17" x14ac:dyDescent="0.25">
      <c r="A79" s="215" t="s">
        <v>129</v>
      </c>
      <c r="B79" s="222">
        <v>202535.1</v>
      </c>
      <c r="C79" s="118">
        <v>18.36469</v>
      </c>
      <c r="D79" s="221">
        <f t="shared" si="6"/>
        <v>9.0674110314705944E-5</v>
      </c>
      <c r="E79" s="128"/>
      <c r="F79" s="119"/>
      <c r="G79" s="120"/>
      <c r="H79" s="121"/>
      <c r="K79" s="120">
        <v>1364.3278778377219</v>
      </c>
      <c r="L79" s="124">
        <f t="shared" si="5"/>
        <v>1364.3278778377219</v>
      </c>
      <c r="M79" s="125">
        <f t="shared" si="4"/>
        <v>6.8269281119061435E-3</v>
      </c>
    </row>
    <row r="80" spans="1:17" x14ac:dyDescent="0.25">
      <c r="A80" s="215" t="s">
        <v>149</v>
      </c>
      <c r="B80" s="222">
        <v>118336.4</v>
      </c>
      <c r="C80" s="118">
        <v>1065.193982</v>
      </c>
      <c r="D80" s="221">
        <f t="shared" si="6"/>
        <v>9.0014060086330162E-3</v>
      </c>
      <c r="E80" s="128">
        <v>0.1</v>
      </c>
      <c r="F80" s="139" t="s">
        <v>361</v>
      </c>
      <c r="G80" s="120"/>
      <c r="H80" s="144">
        <f>'Priority Actions'!C9</f>
        <v>1572.5495999999998</v>
      </c>
      <c r="I80" s="122">
        <v>2138.17</v>
      </c>
      <c r="K80" s="123"/>
      <c r="L80" s="124">
        <f t="shared" si="5"/>
        <v>3710.7195999999999</v>
      </c>
      <c r="M80" s="125">
        <f t="shared" si="4"/>
        <v>4.0358787169459273E-2</v>
      </c>
    </row>
    <row r="81" spans="1:13" x14ac:dyDescent="0.25">
      <c r="A81" s="215" t="s">
        <v>216</v>
      </c>
      <c r="B81" s="222">
        <v>8672.7000000000007</v>
      </c>
      <c r="C81" s="118">
        <v>33.480134</v>
      </c>
      <c r="D81" s="221">
        <f t="shared" si="6"/>
        <v>3.8604049488625224E-3</v>
      </c>
      <c r="E81" s="128"/>
      <c r="F81" s="119"/>
      <c r="G81" s="120"/>
      <c r="H81" s="121"/>
      <c r="K81" s="123"/>
      <c r="L81" s="124">
        <f t="shared" si="5"/>
        <v>0</v>
      </c>
      <c r="M81" s="125">
        <f t="shared" si="4"/>
        <v>3.8604049488625224E-3</v>
      </c>
    </row>
    <row r="82" spans="1:13" x14ac:dyDescent="0.25">
      <c r="A82" s="215" t="s">
        <v>98</v>
      </c>
      <c r="B82" s="222">
        <v>110136.3</v>
      </c>
      <c r="C82" s="118">
        <v>583.24881800000003</v>
      </c>
      <c r="D82" s="141">
        <f t="shared" si="6"/>
        <v>5.295700127932389E-3</v>
      </c>
      <c r="E82" s="138" t="s">
        <v>411</v>
      </c>
      <c r="F82" s="133">
        <v>9659</v>
      </c>
      <c r="G82" s="120">
        <f>IF(F82&gt;SUM(H82:K82), F82-SUM(H82:K82), 0)</f>
        <v>9659</v>
      </c>
      <c r="H82" s="121"/>
      <c r="K82" s="120"/>
      <c r="L82" s="124">
        <f t="shared" si="5"/>
        <v>9659</v>
      </c>
      <c r="M82" s="125">
        <f t="shared" si="4"/>
        <v>9.2996122241259235E-2</v>
      </c>
    </row>
    <row r="83" spans="1:13" x14ac:dyDescent="0.25">
      <c r="A83" s="215" t="s">
        <v>217</v>
      </c>
      <c r="B83" s="222">
        <v>106506.6</v>
      </c>
      <c r="C83" s="118">
        <v>10660.724910000001</v>
      </c>
      <c r="D83" s="221">
        <f t="shared" si="6"/>
        <v>0.10009450034082396</v>
      </c>
      <c r="E83" s="128"/>
      <c r="F83" s="131"/>
      <c r="G83" s="120"/>
      <c r="H83" s="121"/>
      <c r="K83" s="123"/>
      <c r="L83" s="124">
        <f t="shared" si="5"/>
        <v>0</v>
      </c>
      <c r="M83" s="125">
        <f t="shared" si="4"/>
        <v>0.10009450034082396</v>
      </c>
    </row>
    <row r="84" spans="1:13" x14ac:dyDescent="0.25">
      <c r="A84" s="215" t="s">
        <v>218</v>
      </c>
      <c r="B84" s="222">
        <v>136910</v>
      </c>
      <c r="C84" s="118">
        <v>17.404509000000001</v>
      </c>
      <c r="D84" s="221">
        <f t="shared" si="6"/>
        <v>1.2712372361405305E-4</v>
      </c>
      <c r="E84" s="128"/>
      <c r="F84" s="119"/>
      <c r="G84" s="120"/>
      <c r="H84" s="121"/>
      <c r="K84" s="123"/>
      <c r="L84" s="124">
        <f t="shared" si="5"/>
        <v>0</v>
      </c>
      <c r="M84" s="125">
        <f t="shared" si="4"/>
        <v>1.2712372361405305E-4</v>
      </c>
    </row>
    <row r="85" spans="1:13" x14ac:dyDescent="0.25">
      <c r="A85" s="215" t="s">
        <v>150</v>
      </c>
      <c r="B85" s="224">
        <v>123867.21883587541</v>
      </c>
      <c r="C85" s="118">
        <v>0</v>
      </c>
      <c r="D85" s="221">
        <f t="shared" si="6"/>
        <v>0</v>
      </c>
      <c r="E85" s="128"/>
      <c r="F85" s="131"/>
      <c r="G85" s="120"/>
      <c r="H85" s="121"/>
      <c r="I85" s="122">
        <v>1100</v>
      </c>
      <c r="K85" s="120">
        <f>B85*0.2-C85-G85-H85-I85-J85</f>
        <v>23673.443767175082</v>
      </c>
      <c r="L85" s="124">
        <f t="shared" si="5"/>
        <v>24773.443767175082</v>
      </c>
      <c r="M85" s="125">
        <f t="shared" si="4"/>
        <v>0.2</v>
      </c>
    </row>
    <row r="86" spans="1:13" x14ac:dyDescent="0.25">
      <c r="A86" s="215" t="s">
        <v>219</v>
      </c>
      <c r="B86" s="222">
        <v>416111</v>
      </c>
      <c r="C86" s="130">
        <v>70453.528820000007</v>
      </c>
      <c r="D86" s="221">
        <f t="shared" si="6"/>
        <v>0.16931426667403651</v>
      </c>
      <c r="E86" s="128"/>
      <c r="F86" s="119"/>
      <c r="G86" s="120"/>
      <c r="H86" s="126"/>
      <c r="I86" s="127"/>
      <c r="J86" s="127"/>
      <c r="K86" s="123"/>
      <c r="L86" s="124">
        <f t="shared" si="5"/>
        <v>0</v>
      </c>
      <c r="M86" s="125">
        <f t="shared" si="4"/>
        <v>0.16931426667403651</v>
      </c>
    </row>
    <row r="87" spans="1:13" x14ac:dyDescent="0.25">
      <c r="A87" s="215" t="s">
        <v>33</v>
      </c>
      <c r="B87" s="222">
        <v>219971.20000000001</v>
      </c>
      <c r="C87" s="118">
        <v>9144.3377270000001</v>
      </c>
      <c r="D87" s="221">
        <f t="shared" si="6"/>
        <v>4.1570613457579897E-2</v>
      </c>
      <c r="E87" s="128"/>
      <c r="F87" s="119"/>
      <c r="G87" s="120"/>
      <c r="H87" s="121"/>
      <c r="I87" s="122">
        <v>2777.21</v>
      </c>
      <c r="K87" s="123"/>
      <c r="L87" s="124">
        <f t="shared" si="5"/>
        <v>2777.21</v>
      </c>
      <c r="M87" s="125">
        <f t="shared" si="4"/>
        <v>5.4195948046835224E-2</v>
      </c>
    </row>
    <row r="88" spans="1:13" x14ac:dyDescent="0.25">
      <c r="A88" s="215" t="s">
        <v>220</v>
      </c>
      <c r="B88" s="222">
        <v>752783.5</v>
      </c>
      <c r="C88" s="118">
        <v>2863.1031210000001</v>
      </c>
      <c r="D88" s="221">
        <f t="shared" si="6"/>
        <v>3.8033553086644434E-3</v>
      </c>
      <c r="E88" s="128"/>
      <c r="F88" s="119"/>
      <c r="G88" s="120"/>
      <c r="H88" s="121"/>
      <c r="K88" s="123"/>
      <c r="L88" s="124">
        <f t="shared" si="5"/>
        <v>0</v>
      </c>
      <c r="M88" s="125">
        <f t="shared" si="4"/>
        <v>3.8033553086644434E-3</v>
      </c>
    </row>
    <row r="89" spans="1:13" x14ac:dyDescent="0.25">
      <c r="A89" s="215" t="s">
        <v>9</v>
      </c>
      <c r="B89" s="222">
        <v>2301226.5</v>
      </c>
      <c r="C89" s="118">
        <v>3928.3273949999998</v>
      </c>
      <c r="D89" s="221">
        <f t="shared" si="6"/>
        <v>1.7070581253083952E-3</v>
      </c>
      <c r="E89" s="128"/>
      <c r="F89" s="119"/>
      <c r="G89" s="120"/>
      <c r="H89" s="144">
        <v>5000</v>
      </c>
      <c r="K89" s="123"/>
      <c r="L89" s="124">
        <f t="shared" si="5"/>
        <v>5000</v>
      </c>
      <c r="M89" s="125">
        <f t="shared" si="4"/>
        <v>3.8798125238867186E-3</v>
      </c>
    </row>
    <row r="90" spans="1:13" x14ac:dyDescent="0.25">
      <c r="A90" s="215" t="s">
        <v>34</v>
      </c>
      <c r="B90" s="222">
        <v>5947954.2000000002</v>
      </c>
      <c r="C90" s="220">
        <v>181849</v>
      </c>
      <c r="D90" s="221">
        <f t="shared" si="6"/>
        <v>3.0573369243495518E-2</v>
      </c>
      <c r="E90" s="128" t="s">
        <v>444</v>
      </c>
      <c r="F90" s="132">
        <f>200000-C90</f>
        <v>18151</v>
      </c>
      <c r="G90" s="120">
        <f>IF(F90&gt;SUM(H90:K90), F90-SUM(H90:K90), 0)</f>
        <v>0</v>
      </c>
      <c r="H90" s="121"/>
      <c r="I90" s="122">
        <v>22333.08</v>
      </c>
      <c r="J90" s="122">
        <f>'Ocean Conf commitments'!B9</f>
        <v>10269.620000000001</v>
      </c>
      <c r="K90" s="123"/>
      <c r="L90" s="124">
        <f t="shared" si="5"/>
        <v>32602.700000000004</v>
      </c>
      <c r="M90" s="125">
        <f t="shared" si="4"/>
        <v>3.6054699277946696E-2</v>
      </c>
    </row>
    <row r="91" spans="1:13" x14ac:dyDescent="0.25">
      <c r="A91" s="215" t="s">
        <v>221</v>
      </c>
      <c r="B91" s="222">
        <v>224800.6</v>
      </c>
      <c r="C91" s="130">
        <v>1808.644137</v>
      </c>
      <c r="D91" s="221">
        <f t="shared" si="6"/>
        <v>8.0455485305644201E-3</v>
      </c>
      <c r="E91" s="128">
        <v>0.05</v>
      </c>
      <c r="F91" s="139" t="s">
        <v>358</v>
      </c>
      <c r="G91" s="120"/>
      <c r="H91" s="126"/>
      <c r="I91" s="127"/>
      <c r="J91" s="127"/>
      <c r="K91" s="123"/>
      <c r="L91" s="124">
        <f t="shared" si="5"/>
        <v>0</v>
      </c>
      <c r="M91" s="125">
        <f t="shared" si="4"/>
        <v>8.0455485305644201E-3</v>
      </c>
    </row>
    <row r="92" spans="1:13" x14ac:dyDescent="0.25">
      <c r="A92" s="215" t="s">
        <v>222</v>
      </c>
      <c r="B92" s="222">
        <v>596</v>
      </c>
      <c r="C92" s="118">
        <v>0</v>
      </c>
      <c r="D92" s="221">
        <f t="shared" si="6"/>
        <v>0</v>
      </c>
      <c r="E92" s="128"/>
      <c r="F92" s="131"/>
      <c r="G92" s="120"/>
      <c r="H92" s="121"/>
      <c r="K92" s="123"/>
      <c r="L92" s="124">
        <f t="shared" si="5"/>
        <v>0</v>
      </c>
      <c r="M92" s="125">
        <f t="shared" si="4"/>
        <v>0</v>
      </c>
    </row>
    <row r="93" spans="1:13" x14ac:dyDescent="0.25">
      <c r="A93" s="215" t="s">
        <v>223</v>
      </c>
      <c r="B93" s="222">
        <v>426441.7</v>
      </c>
      <c r="C93" s="118">
        <v>9945.0991869999998</v>
      </c>
      <c r="D93" s="221">
        <f t="shared" si="6"/>
        <v>2.3321122645838809E-2</v>
      </c>
      <c r="E93" s="128"/>
      <c r="F93" s="119"/>
      <c r="G93" s="120"/>
      <c r="H93" s="121"/>
      <c r="K93" s="123"/>
      <c r="L93" s="124">
        <f t="shared" si="5"/>
        <v>0</v>
      </c>
      <c r="M93" s="125">
        <f t="shared" si="4"/>
        <v>2.3321122645838809E-2</v>
      </c>
    </row>
    <row r="94" spans="1:13" x14ac:dyDescent="0.25">
      <c r="A94" s="215" t="s">
        <v>224</v>
      </c>
      <c r="B94" s="222">
        <v>27855</v>
      </c>
      <c r="C94" s="118">
        <v>9.067342</v>
      </c>
      <c r="D94" s="221">
        <f t="shared" si="6"/>
        <v>3.2551936815652488E-4</v>
      </c>
      <c r="E94" s="128"/>
      <c r="F94" s="119"/>
      <c r="G94" s="120"/>
      <c r="H94" s="121"/>
      <c r="K94" s="123"/>
      <c r="L94" s="124">
        <f t="shared" si="5"/>
        <v>0</v>
      </c>
      <c r="M94" s="125">
        <f t="shared" si="4"/>
        <v>3.2551936815652488E-4</v>
      </c>
    </row>
    <row r="95" spans="1:13" x14ac:dyDescent="0.25">
      <c r="A95" s="215" t="s">
        <v>225</v>
      </c>
      <c r="B95" s="222">
        <v>538881</v>
      </c>
      <c r="C95" s="220">
        <v>47348</v>
      </c>
      <c r="D95" s="221">
        <f t="shared" si="6"/>
        <v>8.7863554291207152E-2</v>
      </c>
      <c r="E95" s="128"/>
      <c r="F95" s="119"/>
      <c r="G95" s="120"/>
      <c r="H95" s="121"/>
      <c r="K95" s="123"/>
      <c r="L95" s="124">
        <f t="shared" si="5"/>
        <v>0</v>
      </c>
      <c r="M95" s="125">
        <f t="shared" si="4"/>
        <v>8.7863554291207152E-2</v>
      </c>
    </row>
    <row r="96" spans="1:13" x14ac:dyDescent="0.25">
      <c r="A96" s="215" t="s">
        <v>99</v>
      </c>
      <c r="B96" s="222">
        <v>246488.5</v>
      </c>
      <c r="C96" s="118">
        <v>1859.9916969999999</v>
      </c>
      <c r="D96" s="221">
        <f t="shared" si="6"/>
        <v>7.5459573042961437E-3</v>
      </c>
      <c r="E96" s="128">
        <v>0.1</v>
      </c>
      <c r="F96" s="132">
        <f>IF(E96&gt;D96,E96*B96-C96,0)</f>
        <v>22788.858303000001</v>
      </c>
      <c r="G96" s="120">
        <f>IF(F96&gt;SUM(H96:J96), F96-SUM(H96:J96), 0)</f>
        <v>14748.858303000001</v>
      </c>
      <c r="H96" s="121"/>
      <c r="J96" s="122">
        <v>8040</v>
      </c>
      <c r="K96" s="120">
        <f>B96*0.2-C96-G96-H96-I96-J96</f>
        <v>24648.850000000006</v>
      </c>
      <c r="L96" s="124">
        <f t="shared" si="5"/>
        <v>47437.708303000007</v>
      </c>
      <c r="M96" s="125">
        <f t="shared" si="4"/>
        <v>0.2</v>
      </c>
    </row>
    <row r="97" spans="1:13" x14ac:dyDescent="0.25">
      <c r="A97" s="215" t="s">
        <v>100</v>
      </c>
      <c r="B97" s="222">
        <v>4040612.3</v>
      </c>
      <c r="C97" s="220">
        <v>332690</v>
      </c>
      <c r="D97" s="221">
        <f t="shared" si="6"/>
        <v>8.2336531025260701E-2</v>
      </c>
      <c r="E97" s="128">
        <v>0.1</v>
      </c>
      <c r="F97" s="132">
        <f>IF(E97&gt;D97, E97*B97-C97, 0)</f>
        <v>71371.229999999981</v>
      </c>
      <c r="G97" s="120">
        <f>IF(F97&gt;SUM(H97:K97), F97-SUM(H97:K97), 0)</f>
        <v>71371.229999999981</v>
      </c>
      <c r="H97" s="121"/>
      <c r="K97" s="120"/>
      <c r="L97" s="124">
        <f t="shared" si="5"/>
        <v>71371.229999999981</v>
      </c>
      <c r="M97" s="125">
        <f t="shared" si="4"/>
        <v>0.1</v>
      </c>
    </row>
    <row r="98" spans="1:13" x14ac:dyDescent="0.25">
      <c r="A98" s="215" t="s">
        <v>226</v>
      </c>
      <c r="B98" s="222">
        <v>2962.1</v>
      </c>
      <c r="C98" s="118">
        <v>185.02846600000001</v>
      </c>
      <c r="D98" s="221">
        <f t="shared" si="6"/>
        <v>6.246530029371055E-2</v>
      </c>
      <c r="E98" s="128"/>
      <c r="F98" s="131"/>
      <c r="G98" s="120"/>
      <c r="H98" s="121"/>
      <c r="K98" s="123"/>
      <c r="L98" s="124">
        <f t="shared" si="5"/>
        <v>0</v>
      </c>
      <c r="M98" s="125">
        <f t="shared" si="4"/>
        <v>6.246530029371055E-2</v>
      </c>
    </row>
    <row r="99" spans="1:13" x14ac:dyDescent="0.25">
      <c r="A99" s="215" t="s">
        <v>101</v>
      </c>
      <c r="B99" s="222">
        <v>93.7</v>
      </c>
      <c r="C99" s="118">
        <v>33.455455999999998</v>
      </c>
      <c r="D99" s="221">
        <f t="shared" si="6"/>
        <v>0.35704862326574172</v>
      </c>
      <c r="E99" s="128">
        <v>0.1</v>
      </c>
      <c r="F99" s="132">
        <f>IF(E99&gt;D99, E99*B99-C99, 0)</f>
        <v>0</v>
      </c>
      <c r="G99" s="120">
        <f>IF(F99&gt;SUM(H99:K99), F99-SUM(H99:K99), 0)</f>
        <v>0</v>
      </c>
      <c r="H99" s="121"/>
      <c r="K99" s="120"/>
      <c r="L99" s="124">
        <f t="shared" si="5"/>
        <v>0</v>
      </c>
      <c r="M99" s="125">
        <f t="shared" si="4"/>
        <v>0.35704862326574172</v>
      </c>
    </row>
    <row r="100" spans="1:13" x14ac:dyDescent="0.25">
      <c r="A100" s="215" t="s">
        <v>227</v>
      </c>
      <c r="B100" s="222">
        <v>119085</v>
      </c>
      <c r="C100" s="118">
        <v>1249.4546889999999</v>
      </c>
      <c r="D100" s="221">
        <f t="shared" si="6"/>
        <v>1.0492124860393836E-2</v>
      </c>
      <c r="E100" s="128"/>
      <c r="F100" s="119"/>
      <c r="G100" s="120"/>
      <c r="H100" s="121"/>
      <c r="K100" s="123"/>
      <c r="L100" s="124">
        <f t="shared" si="5"/>
        <v>0</v>
      </c>
      <c r="M100" s="125">
        <f t="shared" si="4"/>
        <v>1.0492124860393836E-2</v>
      </c>
    </row>
    <row r="101" spans="1:13" x14ac:dyDescent="0.25">
      <c r="A101" s="215" t="s">
        <v>228</v>
      </c>
      <c r="B101" s="222">
        <v>112400.4</v>
      </c>
      <c r="C101" s="118">
        <v>903.90277300000002</v>
      </c>
      <c r="D101" s="221">
        <f t="shared" si="6"/>
        <v>8.0418109988932424E-3</v>
      </c>
      <c r="E101" s="128"/>
      <c r="F101" s="131"/>
      <c r="G101" s="120"/>
      <c r="H101" s="121"/>
      <c r="K101" s="123"/>
      <c r="L101" s="124">
        <f t="shared" si="5"/>
        <v>0</v>
      </c>
      <c r="M101" s="125">
        <f t="shared" si="4"/>
        <v>8.0418109988932424E-3</v>
      </c>
    </row>
    <row r="102" spans="1:13" x14ac:dyDescent="0.25">
      <c r="A102" s="215" t="s">
        <v>151</v>
      </c>
      <c r="B102" s="222">
        <v>3459130.4</v>
      </c>
      <c r="C102" s="220">
        <v>410221</v>
      </c>
      <c r="D102" s="221">
        <f t="shared" si="6"/>
        <v>0.11859078802001798</v>
      </c>
      <c r="E102" s="128"/>
      <c r="F102" s="119"/>
      <c r="G102" s="120"/>
      <c r="H102" s="121"/>
      <c r="I102" s="326">
        <v>270629.910840592</v>
      </c>
      <c r="K102" s="123"/>
      <c r="L102" s="124">
        <f t="shared" si="5"/>
        <v>270629.910840592</v>
      </c>
      <c r="M102" s="125">
        <f t="shared" si="4"/>
        <v>0.19682718837098248</v>
      </c>
    </row>
    <row r="103" spans="1:13" x14ac:dyDescent="0.25">
      <c r="A103" s="215" t="s">
        <v>10</v>
      </c>
      <c r="B103" s="222">
        <v>11895.8</v>
      </c>
      <c r="C103" s="118">
        <v>175.97463099999999</v>
      </c>
      <c r="D103" s="221">
        <f t="shared" si="6"/>
        <v>1.4793005178298223E-2</v>
      </c>
      <c r="E103" s="128"/>
      <c r="F103" s="119"/>
      <c r="G103" s="120"/>
      <c r="H103" s="147">
        <v>272.67</v>
      </c>
      <c r="K103" s="123"/>
      <c r="L103" s="124">
        <f t="shared" si="5"/>
        <v>272.67</v>
      </c>
      <c r="M103" s="125">
        <f t="shared" si="4"/>
        <v>3.7714540510096005E-2</v>
      </c>
    </row>
    <row r="104" spans="1:13" x14ac:dyDescent="0.25">
      <c r="A104" s="215" t="s">
        <v>229</v>
      </c>
      <c r="B104" s="222">
        <v>28879.599999999999</v>
      </c>
      <c r="C104" s="118">
        <v>4631.3012840000001</v>
      </c>
      <c r="D104" s="221">
        <f t="shared" si="6"/>
        <v>0.16036583900054019</v>
      </c>
      <c r="E104" s="128"/>
      <c r="F104" s="131"/>
      <c r="G104" s="120"/>
      <c r="H104" s="121"/>
      <c r="K104" s="123"/>
      <c r="L104" s="124">
        <f t="shared" si="5"/>
        <v>0</v>
      </c>
      <c r="M104" s="125">
        <f t="shared" si="4"/>
        <v>0.16036583900054019</v>
      </c>
    </row>
    <row r="105" spans="1:13" x14ac:dyDescent="0.25">
      <c r="A105" s="215" t="s">
        <v>11</v>
      </c>
      <c r="B105" s="222">
        <v>19315.8</v>
      </c>
      <c r="C105" s="151">
        <v>40.839543999999997</v>
      </c>
      <c r="D105" s="225">
        <f t="shared" si="6"/>
        <v>2.1143076652274302E-3</v>
      </c>
      <c r="E105" s="128">
        <v>0.2</v>
      </c>
      <c r="F105" s="158" t="s">
        <v>358</v>
      </c>
      <c r="G105" s="120"/>
      <c r="H105" s="144">
        <f>0.1*B105-C105</f>
        <v>1890.740456</v>
      </c>
      <c r="K105" s="123"/>
      <c r="L105" s="124">
        <f t="shared" si="5"/>
        <v>1890.740456</v>
      </c>
      <c r="M105" s="125">
        <f t="shared" si="4"/>
        <v>0.1</v>
      </c>
    </row>
    <row r="106" spans="1:13" x14ac:dyDescent="0.25">
      <c r="A106" s="215" t="s">
        <v>12</v>
      </c>
      <c r="B106" s="222">
        <v>247767.7</v>
      </c>
      <c r="C106" s="118">
        <v>256.04962399999999</v>
      </c>
      <c r="D106" s="221">
        <f t="shared" si="6"/>
        <v>1.0334261649117297E-3</v>
      </c>
      <c r="E106" s="128">
        <v>0.05</v>
      </c>
      <c r="F106" s="139" t="s">
        <v>361</v>
      </c>
      <c r="G106" s="120"/>
      <c r="H106" s="144">
        <f>0.05*B106-C106</f>
        <v>12132.335376000003</v>
      </c>
      <c r="K106" s="123"/>
      <c r="L106" s="124">
        <f t="shared" si="5"/>
        <v>12132.335376000003</v>
      </c>
      <c r="M106" s="125">
        <f t="shared" si="4"/>
        <v>0.05</v>
      </c>
    </row>
    <row r="107" spans="1:13" x14ac:dyDescent="0.25">
      <c r="A107" s="215" t="s">
        <v>230</v>
      </c>
      <c r="B107" s="222">
        <v>357895.3</v>
      </c>
      <c r="C107" s="118">
        <v>2277.7508899999998</v>
      </c>
      <c r="D107" s="221">
        <f t="shared" ref="D107:D113" si="7">C107/B107</f>
        <v>6.3642939429492361E-3</v>
      </c>
      <c r="E107" s="128"/>
      <c r="F107" s="131"/>
      <c r="G107" s="120"/>
      <c r="H107" s="121"/>
      <c r="K107" s="123"/>
      <c r="L107" s="124">
        <f t="shared" si="5"/>
        <v>0</v>
      </c>
      <c r="M107" s="125">
        <f t="shared" si="4"/>
        <v>6.3642939429492361E-3</v>
      </c>
    </row>
    <row r="108" spans="1:13" x14ac:dyDescent="0.25">
      <c r="A108" s="215" t="s">
        <v>231</v>
      </c>
      <c r="B108" s="222">
        <v>6125.7</v>
      </c>
      <c r="C108" s="118">
        <v>1567.7062980000001</v>
      </c>
      <c r="D108" s="221">
        <f t="shared" si="7"/>
        <v>0.25592280033302317</v>
      </c>
      <c r="E108" s="128"/>
      <c r="F108" s="131"/>
      <c r="G108" s="120"/>
      <c r="H108" s="121"/>
      <c r="K108" s="123"/>
      <c r="L108" s="124">
        <f t="shared" si="5"/>
        <v>0</v>
      </c>
      <c r="M108" s="125">
        <f t="shared" si="4"/>
        <v>0.25592280033302317</v>
      </c>
    </row>
    <row r="109" spans="1:13" x14ac:dyDescent="0.25">
      <c r="A109" s="215" t="s">
        <v>37</v>
      </c>
      <c r="B109" s="222">
        <v>1205824.8</v>
      </c>
      <c r="C109" s="220">
        <v>8998</v>
      </c>
      <c r="D109" s="221">
        <f t="shared" si="7"/>
        <v>7.462112240517859E-3</v>
      </c>
      <c r="E109" s="128">
        <v>0.15</v>
      </c>
      <c r="F109" s="139" t="s">
        <v>360</v>
      </c>
      <c r="G109" s="120"/>
      <c r="H109" s="121"/>
      <c r="I109" s="122">
        <v>16800</v>
      </c>
      <c r="K109" s="123"/>
      <c r="L109" s="124">
        <f t="shared" si="5"/>
        <v>16800</v>
      </c>
      <c r="M109" s="125">
        <f t="shared" si="4"/>
        <v>2.1394484505543425E-2</v>
      </c>
    </row>
    <row r="110" spans="1:13" x14ac:dyDescent="0.25">
      <c r="A110" s="215" t="s">
        <v>232</v>
      </c>
      <c r="B110" s="222">
        <v>451741.5</v>
      </c>
      <c r="C110" s="118">
        <v>6977.700382</v>
      </c>
      <c r="D110" s="221">
        <f t="shared" si="7"/>
        <v>1.5446223962155347E-2</v>
      </c>
      <c r="E110" s="128">
        <v>0.1</v>
      </c>
      <c r="F110" s="139" t="s">
        <v>360</v>
      </c>
      <c r="G110" s="120"/>
      <c r="H110" s="144">
        <v>9000</v>
      </c>
      <c r="K110" s="123"/>
      <c r="L110" s="124">
        <f t="shared" si="5"/>
        <v>9000</v>
      </c>
      <c r="M110" s="125">
        <f t="shared" si="4"/>
        <v>3.5369122345412139E-2</v>
      </c>
    </row>
    <row r="111" spans="1:13" x14ac:dyDescent="0.25">
      <c r="A111" s="215" t="s">
        <v>233</v>
      </c>
      <c r="B111" s="222">
        <v>922110</v>
      </c>
      <c r="C111" s="118">
        <v>474.93308200000001</v>
      </c>
      <c r="D111" s="221">
        <f t="shared" si="7"/>
        <v>5.1505035407923129E-4</v>
      </c>
      <c r="E111" s="128"/>
      <c r="F111" s="131"/>
      <c r="G111" s="120"/>
      <c r="H111" s="121"/>
      <c r="K111" s="123"/>
      <c r="L111" s="124">
        <f t="shared" si="5"/>
        <v>0</v>
      </c>
      <c r="M111" s="125">
        <f t="shared" si="4"/>
        <v>5.1505035407923129E-4</v>
      </c>
    </row>
    <row r="112" spans="1:13" x14ac:dyDescent="0.25">
      <c r="A112" s="215" t="s">
        <v>234</v>
      </c>
      <c r="B112" s="222">
        <v>55696.7</v>
      </c>
      <c r="C112" s="220">
        <v>3496</v>
      </c>
      <c r="D112" s="221">
        <f t="shared" si="7"/>
        <v>6.2768530271990988E-2</v>
      </c>
      <c r="E112" s="128"/>
      <c r="F112" s="131"/>
      <c r="G112" s="120"/>
      <c r="H112" s="121"/>
      <c r="K112" s="123"/>
      <c r="L112" s="124">
        <f t="shared" si="5"/>
        <v>0</v>
      </c>
      <c r="M112" s="125">
        <f t="shared" si="4"/>
        <v>6.2768530271990988E-2</v>
      </c>
    </row>
    <row r="113" spans="1:13" x14ac:dyDescent="0.25">
      <c r="A113" s="215" t="s">
        <v>157</v>
      </c>
      <c r="B113" s="222">
        <v>2004587.3</v>
      </c>
      <c r="C113" s="118">
        <v>5388.3962570000003</v>
      </c>
      <c r="D113" s="221">
        <f t="shared" si="7"/>
        <v>2.6880327222466192E-3</v>
      </c>
      <c r="E113" s="128"/>
      <c r="F113" s="119"/>
      <c r="G113" s="120"/>
      <c r="H113" s="121"/>
      <c r="J113" s="122">
        <v>305.5</v>
      </c>
      <c r="K113" s="120">
        <v>62592.837725951897</v>
      </c>
      <c r="L113" s="124">
        <f t="shared" si="5"/>
        <v>62898.337725951897</v>
      </c>
      <c r="M113" s="125">
        <f t="shared" si="4"/>
        <v>3.4065233269188075E-2</v>
      </c>
    </row>
    <row r="114" spans="1:13" x14ac:dyDescent="0.25">
      <c r="A114" s="215" t="s">
        <v>235</v>
      </c>
      <c r="B114" s="222">
        <v>47644.3</v>
      </c>
      <c r="C114" s="220">
        <v>47916</v>
      </c>
      <c r="D114" s="221">
        <v>1</v>
      </c>
      <c r="E114" s="128"/>
      <c r="F114" s="131"/>
      <c r="G114" s="120"/>
      <c r="H114" s="121"/>
      <c r="K114" s="123"/>
      <c r="L114" s="124">
        <f t="shared" si="5"/>
        <v>0</v>
      </c>
      <c r="M114" s="125">
        <f t="shared" si="4"/>
        <v>1.0057026758709855</v>
      </c>
    </row>
    <row r="115" spans="1:13" x14ac:dyDescent="0.25">
      <c r="A115" s="215" t="s">
        <v>236</v>
      </c>
      <c r="B115" s="222">
        <v>156197.9</v>
      </c>
      <c r="C115" s="220">
        <v>6480</v>
      </c>
      <c r="D115" s="221">
        <f>C115/B115</f>
        <v>4.1485833036167583E-2</v>
      </c>
      <c r="E115" s="128"/>
      <c r="F115" s="119"/>
      <c r="G115" s="120"/>
      <c r="H115" s="121"/>
      <c r="K115" s="123"/>
      <c r="L115" s="124">
        <f t="shared" si="5"/>
        <v>0</v>
      </c>
      <c r="M115" s="125">
        <f t="shared" si="4"/>
        <v>4.1485833036167583E-2</v>
      </c>
    </row>
    <row r="116" spans="1:13" x14ac:dyDescent="0.25">
      <c r="A116" s="215" t="s">
        <v>237</v>
      </c>
      <c r="B116" s="222">
        <v>1280068.3</v>
      </c>
      <c r="C116" s="118">
        <v>49.643920000000001</v>
      </c>
      <c r="D116" s="221">
        <f>C116/B116</f>
        <v>3.8782243103746886E-5</v>
      </c>
      <c r="E116" s="128">
        <v>0.1</v>
      </c>
      <c r="F116" s="139" t="s">
        <v>360</v>
      </c>
      <c r="G116" s="120"/>
      <c r="H116" s="121"/>
      <c r="K116" s="123"/>
      <c r="L116" s="124">
        <f t="shared" si="5"/>
        <v>0</v>
      </c>
      <c r="M116" s="125">
        <f t="shared" si="4"/>
        <v>3.8782243103746886E-5</v>
      </c>
    </row>
    <row r="117" spans="1:13" x14ac:dyDescent="0.25">
      <c r="A117" s="215" t="s">
        <v>238</v>
      </c>
      <c r="B117" s="222">
        <v>63362.3</v>
      </c>
      <c r="C117" s="220">
        <v>68825</v>
      </c>
      <c r="D117" s="221">
        <v>1</v>
      </c>
      <c r="E117" s="128"/>
      <c r="F117" s="119"/>
      <c r="G117" s="120"/>
      <c r="H117" s="121"/>
      <c r="K117" s="123"/>
      <c r="L117" s="124">
        <f t="shared" si="5"/>
        <v>0</v>
      </c>
      <c r="M117" s="125">
        <f t="shared" si="4"/>
        <v>1.0862137264587932</v>
      </c>
    </row>
    <row r="118" spans="1:13" x14ac:dyDescent="0.25">
      <c r="A118" s="215" t="s">
        <v>60</v>
      </c>
      <c r="B118" s="222">
        <v>3284659.7</v>
      </c>
      <c r="C118" s="220">
        <v>707851</v>
      </c>
      <c r="D118" s="221">
        <f t="shared" ref="D118:D143" si="8">C118/B118</f>
        <v>0.2155020807787181</v>
      </c>
      <c r="E118" s="128">
        <v>0.1</v>
      </c>
      <c r="F118" s="132">
        <f>IF(E118&gt;D118, E118*B118-C118, 0)</f>
        <v>0</v>
      </c>
      <c r="G118" s="120">
        <f>IF(F118&gt;SUM(H118:K118), F118-SUM(H118:K118), 0)</f>
        <v>0</v>
      </c>
      <c r="H118" s="121"/>
      <c r="K118" s="120"/>
      <c r="L118" s="124">
        <f t="shared" si="5"/>
        <v>0</v>
      </c>
      <c r="M118" s="125">
        <f t="shared" si="4"/>
        <v>0.2155020807787181</v>
      </c>
    </row>
    <row r="119" spans="1:13" x14ac:dyDescent="0.25">
      <c r="A119" s="215" t="s">
        <v>239</v>
      </c>
      <c r="B119" s="222">
        <v>3011917</v>
      </c>
      <c r="C119" s="130">
        <v>475.05099200000001</v>
      </c>
      <c r="D119" s="221">
        <f t="shared" si="8"/>
        <v>1.577237991617963E-4</v>
      </c>
      <c r="E119" s="128"/>
      <c r="F119" s="119"/>
      <c r="G119" s="120"/>
      <c r="H119" s="126"/>
      <c r="I119" s="127"/>
      <c r="J119" s="127">
        <v>183250.4184</v>
      </c>
      <c r="K119" s="120">
        <v>32070.19279801727</v>
      </c>
      <c r="L119" s="124">
        <f t="shared" si="5"/>
        <v>215320.61119801726</v>
      </c>
      <c r="M119" s="125">
        <f t="shared" si="4"/>
        <v>7.1647280516035888E-2</v>
      </c>
    </row>
    <row r="120" spans="1:13" x14ac:dyDescent="0.25">
      <c r="A120" s="215" t="s">
        <v>240</v>
      </c>
      <c r="B120" s="222">
        <v>284.2</v>
      </c>
      <c r="C120" s="118">
        <v>283.52286800000002</v>
      </c>
      <c r="D120" s="221">
        <f t="shared" si="8"/>
        <v>0.99761741027445472</v>
      </c>
      <c r="E120" s="128"/>
      <c r="F120" s="131"/>
      <c r="G120" s="120"/>
      <c r="H120" s="121"/>
      <c r="K120" s="123"/>
      <c r="L120" s="124">
        <f t="shared" si="5"/>
        <v>0</v>
      </c>
      <c r="M120" s="125">
        <f t="shared" si="4"/>
        <v>0.99761741027445472</v>
      </c>
    </row>
    <row r="121" spans="1:13" x14ac:dyDescent="0.25">
      <c r="A121" s="215" t="s">
        <v>39</v>
      </c>
      <c r="B121" s="222">
        <v>7459.2</v>
      </c>
      <c r="C121" s="223">
        <v>10</v>
      </c>
      <c r="D121" s="221">
        <f t="shared" si="8"/>
        <v>1.3406263406263406E-3</v>
      </c>
      <c r="E121" s="128">
        <v>0.1</v>
      </c>
      <c r="F121" s="132">
        <f>IF(E121&gt;D121, E121*B121-C121, 0)</f>
        <v>735.92000000000007</v>
      </c>
      <c r="G121" s="120">
        <f>IF(F121&gt;SUM(H121:K121), F121-SUM(H121:K121), 0)</f>
        <v>712.90800000000013</v>
      </c>
      <c r="H121" s="121"/>
      <c r="I121" s="122">
        <v>23.012</v>
      </c>
      <c r="K121" s="123"/>
      <c r="L121" s="124">
        <f t="shared" si="5"/>
        <v>735.92000000000007</v>
      </c>
      <c r="M121" s="125">
        <f t="shared" si="4"/>
        <v>0.1</v>
      </c>
    </row>
    <row r="122" spans="1:13" x14ac:dyDescent="0.25">
      <c r="A122" s="215" t="s">
        <v>241</v>
      </c>
      <c r="B122" s="222">
        <v>7628.3</v>
      </c>
      <c r="C122" s="118">
        <v>2.7399999999999999E-4</v>
      </c>
      <c r="D122" s="221">
        <f t="shared" si="8"/>
        <v>3.5918881008874845E-8</v>
      </c>
      <c r="E122" s="128"/>
      <c r="F122" s="119"/>
      <c r="G122" s="120"/>
      <c r="H122" s="121"/>
      <c r="J122" s="122">
        <f>0.1*B122-C122</f>
        <v>762.82972600000005</v>
      </c>
      <c r="K122" s="123"/>
      <c r="L122" s="124">
        <f t="shared" si="5"/>
        <v>762.82972600000005</v>
      </c>
      <c r="M122" s="125">
        <f t="shared" si="4"/>
        <v>0.1</v>
      </c>
    </row>
    <row r="123" spans="1:13" x14ac:dyDescent="0.25">
      <c r="A123" s="215" t="s">
        <v>102</v>
      </c>
      <c r="B123" s="222">
        <v>276136.40000000002</v>
      </c>
      <c r="C123" s="118">
        <v>717.91069000000005</v>
      </c>
      <c r="D123" s="221">
        <f t="shared" si="8"/>
        <v>2.5998408395271322E-3</v>
      </c>
      <c r="E123" s="128">
        <v>0.1</v>
      </c>
      <c r="F123" s="132">
        <f>IF(E123&gt;D123, E123*B123-C123, 0)</f>
        <v>26895.729310000002</v>
      </c>
      <c r="G123" s="120">
        <f>IF(F123&gt;SUM(H123:K123), F123-SUM(H123:K123), 0)</f>
        <v>26895.729310000002</v>
      </c>
      <c r="H123" s="121"/>
      <c r="K123" s="120"/>
      <c r="L123" s="124">
        <f t="shared" si="5"/>
        <v>26895.729310000002</v>
      </c>
      <c r="M123" s="125">
        <f t="shared" si="4"/>
        <v>0.1</v>
      </c>
    </row>
    <row r="124" spans="1:13" x14ac:dyDescent="0.25">
      <c r="A124" s="215" t="s">
        <v>242</v>
      </c>
      <c r="B124" s="222">
        <v>574409.6</v>
      </c>
      <c r="C124" s="118">
        <v>12821.00808</v>
      </c>
      <c r="D124" s="221">
        <f t="shared" si="8"/>
        <v>2.2320323476487859E-2</v>
      </c>
      <c r="E124" s="128">
        <v>0.05</v>
      </c>
      <c r="F124" s="139" t="s">
        <v>360</v>
      </c>
      <c r="G124" s="120"/>
      <c r="H124" s="121"/>
      <c r="K124" s="123"/>
      <c r="L124" s="124">
        <f t="shared" si="5"/>
        <v>0</v>
      </c>
      <c r="M124" s="125">
        <f t="shared" si="4"/>
        <v>2.2320323476487859E-2</v>
      </c>
    </row>
    <row r="125" spans="1:13" x14ac:dyDescent="0.25">
      <c r="A125" s="215" t="s">
        <v>41</v>
      </c>
      <c r="B125" s="222">
        <v>514147.2</v>
      </c>
      <c r="C125" s="220">
        <v>11957</v>
      </c>
      <c r="D125" s="221">
        <f t="shared" si="8"/>
        <v>2.3255985834406957E-2</v>
      </c>
      <c r="E125" s="128"/>
      <c r="F125" s="131"/>
      <c r="G125" s="120"/>
      <c r="H125" s="121"/>
      <c r="K125" s="123"/>
      <c r="L125" s="124">
        <f t="shared" si="5"/>
        <v>0</v>
      </c>
      <c r="M125" s="125">
        <f t="shared" si="4"/>
        <v>2.3255985834406957E-2</v>
      </c>
    </row>
    <row r="126" spans="1:13" x14ac:dyDescent="0.25">
      <c r="A126" s="215" t="s">
        <v>243</v>
      </c>
      <c r="B126" s="222">
        <v>562727.6</v>
      </c>
      <c r="C126" s="118">
        <v>9646.2749889999996</v>
      </c>
      <c r="D126" s="221">
        <f t="shared" si="8"/>
        <v>1.7141997280744715E-2</v>
      </c>
      <c r="E126" s="128"/>
      <c r="F126" s="119"/>
      <c r="G126" s="120"/>
      <c r="H126" s="121"/>
      <c r="K126" s="123"/>
      <c r="L126" s="124">
        <f t="shared" si="5"/>
        <v>0</v>
      </c>
      <c r="M126" s="125">
        <f t="shared" si="4"/>
        <v>1.7141997280744715E-2</v>
      </c>
    </row>
    <row r="127" spans="1:13" x14ac:dyDescent="0.25">
      <c r="A127" s="215" t="s">
        <v>357</v>
      </c>
      <c r="B127" s="222">
        <v>310564.22469784098</v>
      </c>
      <c r="C127" s="118">
        <v>0</v>
      </c>
      <c r="D127" s="221">
        <f t="shared" si="8"/>
        <v>0</v>
      </c>
      <c r="E127" s="128"/>
      <c r="F127" s="119"/>
      <c r="G127" s="120"/>
      <c r="H127" s="121"/>
      <c r="K127" s="123"/>
      <c r="L127" s="124">
        <f t="shared" si="5"/>
        <v>0</v>
      </c>
      <c r="M127" s="125">
        <f t="shared" si="4"/>
        <v>0</v>
      </c>
    </row>
    <row r="128" spans="1:13" x14ac:dyDescent="0.25">
      <c r="A128" s="215" t="s">
        <v>244</v>
      </c>
      <c r="B128" s="222">
        <v>64205</v>
      </c>
      <c r="C128" s="220">
        <v>17127</v>
      </c>
      <c r="D128" s="221">
        <f t="shared" si="8"/>
        <v>0.26675492562884512</v>
      </c>
      <c r="E128" s="128"/>
      <c r="F128" s="119"/>
      <c r="G128" s="120"/>
      <c r="H128" s="121"/>
      <c r="K128" s="123"/>
      <c r="L128" s="124">
        <f t="shared" si="5"/>
        <v>0</v>
      </c>
      <c r="M128" s="125">
        <f t="shared" si="4"/>
        <v>0.26675492562884512</v>
      </c>
    </row>
    <row r="129" spans="1:17" x14ac:dyDescent="0.25">
      <c r="A129" s="215" t="s">
        <v>245</v>
      </c>
      <c r="B129" s="222">
        <v>1371803.2</v>
      </c>
      <c r="C129" s="220">
        <v>1321626</v>
      </c>
      <c r="D129" s="221">
        <f t="shared" si="8"/>
        <v>0.96342245010071415</v>
      </c>
      <c r="E129" s="128"/>
      <c r="F129" s="131"/>
      <c r="G129" s="120"/>
      <c r="H129" s="121"/>
      <c r="K129" s="123"/>
      <c r="L129" s="124">
        <f t="shared" si="5"/>
        <v>0</v>
      </c>
      <c r="M129" s="125">
        <f t="shared" si="4"/>
        <v>0.96342245010071415</v>
      </c>
    </row>
    <row r="130" spans="1:17" x14ac:dyDescent="0.25">
      <c r="A130" s="215" t="s">
        <v>104</v>
      </c>
      <c r="B130" s="222">
        <v>4106953.9</v>
      </c>
      <c r="C130" s="220">
        <v>1246092</v>
      </c>
      <c r="D130" s="221">
        <f t="shared" si="8"/>
        <v>0.30341027202667165</v>
      </c>
      <c r="E130" s="128">
        <v>0.1</v>
      </c>
      <c r="F130" s="132">
        <f>IF(E130&gt;D130, E130*B130-C130, 0)</f>
        <v>0</v>
      </c>
      <c r="G130" s="120">
        <f>IF(F130&gt;SUM(H130:K130), F130-SUM(H130:K130), 0)</f>
        <v>0</v>
      </c>
      <c r="H130" s="121"/>
      <c r="K130" s="120"/>
      <c r="L130" s="124">
        <f t="shared" si="5"/>
        <v>0</v>
      </c>
      <c r="M130" s="125">
        <f t="shared" ref="M130:M193" si="9">(L130+C130)/B130</f>
        <v>0.30341027202667165</v>
      </c>
    </row>
    <row r="131" spans="1:17" x14ac:dyDescent="0.25">
      <c r="A131" s="215" t="s">
        <v>246</v>
      </c>
      <c r="B131" s="222">
        <v>223935.2</v>
      </c>
      <c r="C131" s="118">
        <v>6660.3451619999996</v>
      </c>
      <c r="D131" s="221">
        <f t="shared" si="8"/>
        <v>2.9742287777892888E-2</v>
      </c>
      <c r="E131" s="128"/>
      <c r="F131" s="119"/>
      <c r="G131" s="120"/>
      <c r="H131" s="121"/>
      <c r="K131" s="123"/>
      <c r="L131" s="124">
        <f t="shared" ref="L131:L194" si="10">SUM(G131:K131)</f>
        <v>0</v>
      </c>
      <c r="M131" s="125">
        <f t="shared" si="9"/>
        <v>2.9742287777892888E-2</v>
      </c>
    </row>
    <row r="132" spans="1:17" x14ac:dyDescent="0.25">
      <c r="A132" s="215" t="s">
        <v>247</v>
      </c>
      <c r="B132" s="222">
        <v>182868.2</v>
      </c>
      <c r="C132" s="118">
        <v>30.555979000000001</v>
      </c>
      <c r="D132" s="221">
        <f t="shared" si="8"/>
        <v>1.6709290625707476E-4</v>
      </c>
      <c r="E132" s="128"/>
      <c r="F132" s="119"/>
      <c r="G132" s="120"/>
      <c r="H132" s="121"/>
      <c r="K132" s="123"/>
      <c r="L132" s="124">
        <f t="shared" si="10"/>
        <v>0</v>
      </c>
      <c r="M132" s="125">
        <f t="shared" si="9"/>
        <v>1.6709290625707476E-4</v>
      </c>
    </row>
    <row r="133" spans="1:17" x14ac:dyDescent="0.25">
      <c r="A133" s="215" t="s">
        <v>248</v>
      </c>
      <c r="B133" s="222">
        <v>318243.7</v>
      </c>
      <c r="C133" s="118">
        <v>36.900176000000002</v>
      </c>
      <c r="D133" s="221">
        <f t="shared" si="8"/>
        <v>1.1594943120633653E-4</v>
      </c>
      <c r="E133" s="128"/>
      <c r="F133" s="119"/>
      <c r="G133" s="120"/>
      <c r="H133" s="121"/>
      <c r="I133" s="122">
        <v>127000</v>
      </c>
      <c r="K133" s="123"/>
      <c r="L133" s="124">
        <f t="shared" si="10"/>
        <v>127000</v>
      </c>
      <c r="M133" s="125">
        <f t="shared" si="9"/>
        <v>0.39918119408491037</v>
      </c>
    </row>
    <row r="134" spans="1:17" x14ac:dyDescent="0.25">
      <c r="A134" s="215" t="s">
        <v>249</v>
      </c>
      <c r="B134" s="222">
        <v>432638.1</v>
      </c>
      <c r="C134" s="118">
        <v>189084.3131</v>
      </c>
      <c r="D134" s="221">
        <f t="shared" si="8"/>
        <v>0.43704961051742786</v>
      </c>
      <c r="E134" s="128"/>
      <c r="F134" s="119"/>
      <c r="G134" s="120"/>
      <c r="H134" s="121"/>
      <c r="K134" s="123"/>
      <c r="L134" s="124">
        <f t="shared" si="10"/>
        <v>0</v>
      </c>
      <c r="M134" s="125">
        <f t="shared" si="9"/>
        <v>0.43704961051742786</v>
      </c>
      <c r="P134" s="47"/>
      <c r="Q134" s="34"/>
    </row>
    <row r="135" spans="1:17" x14ac:dyDescent="0.25">
      <c r="A135" s="215" t="s">
        <v>250</v>
      </c>
      <c r="B135" s="222">
        <v>773667.9</v>
      </c>
      <c r="C135" s="220">
        <v>257173</v>
      </c>
      <c r="D135" s="221">
        <f t="shared" si="8"/>
        <v>0.33240748388294256</v>
      </c>
      <c r="E135" s="128"/>
      <c r="F135" s="115"/>
      <c r="G135" s="120"/>
      <c r="H135" s="126"/>
      <c r="I135" s="127"/>
      <c r="J135" s="127"/>
      <c r="K135" s="120">
        <v>2456.24576094655</v>
      </c>
      <c r="L135" s="124">
        <f t="shared" si="10"/>
        <v>2456.24576094655</v>
      </c>
      <c r="M135" s="125">
        <f t="shared" si="9"/>
        <v>0.33558229023195424</v>
      </c>
      <c r="P135" s="19"/>
      <c r="Q135" s="34"/>
    </row>
    <row r="136" spans="1:17" x14ac:dyDescent="0.25">
      <c r="A136" s="215" t="s">
        <v>251</v>
      </c>
      <c r="B136" s="222">
        <v>926317.7</v>
      </c>
      <c r="C136" s="220">
        <v>7697</v>
      </c>
      <c r="D136" s="221">
        <f t="shared" si="8"/>
        <v>8.3092442258201477E-3</v>
      </c>
      <c r="E136" s="128"/>
      <c r="F136" s="119"/>
      <c r="G136" s="120"/>
      <c r="H136" s="121"/>
      <c r="K136" s="123"/>
      <c r="L136" s="124">
        <f t="shared" si="10"/>
        <v>0</v>
      </c>
      <c r="M136" s="125">
        <f t="shared" si="9"/>
        <v>8.3092442258201477E-3</v>
      </c>
      <c r="P136" s="31"/>
      <c r="Q136" s="311"/>
    </row>
    <row r="137" spans="1:17" x14ac:dyDescent="0.25">
      <c r="A137" s="215" t="s">
        <v>252</v>
      </c>
      <c r="B137" s="222">
        <v>538980.19999999995</v>
      </c>
      <c r="C137" s="118">
        <v>663.98976400000004</v>
      </c>
      <c r="D137" s="221">
        <f t="shared" si="8"/>
        <v>1.2319372103093956E-3</v>
      </c>
      <c r="E137" s="128"/>
      <c r="F137" s="119"/>
      <c r="G137" s="120"/>
      <c r="H137" s="121"/>
      <c r="K137" s="123"/>
      <c r="L137" s="124">
        <f t="shared" si="10"/>
        <v>0</v>
      </c>
      <c r="M137" s="125">
        <f t="shared" si="9"/>
        <v>1.2319372103093956E-3</v>
      </c>
      <c r="P137" s="146"/>
      <c r="Q137" s="308"/>
    </row>
    <row r="138" spans="1:17" x14ac:dyDescent="0.25">
      <c r="A138" s="215" t="s">
        <v>159</v>
      </c>
      <c r="B138" s="222">
        <v>222743.9</v>
      </c>
      <c r="C138" s="118">
        <v>1707.3974330000001</v>
      </c>
      <c r="D138" s="221">
        <f t="shared" si="8"/>
        <v>7.665293788067822E-3</v>
      </c>
      <c r="E138" s="128">
        <v>0.1</v>
      </c>
      <c r="F138" s="132">
        <f>IF(E138&gt;D138, E138*B138-C138, 0)</f>
        <v>20566.992567000001</v>
      </c>
      <c r="G138" s="120">
        <f>IF(F138&gt;SUM(H138:K138), F138-SUM(H138:K138), 0)</f>
        <v>20566.992567000001</v>
      </c>
      <c r="H138" s="121"/>
      <c r="K138" s="123"/>
      <c r="L138" s="124">
        <f t="shared" si="10"/>
        <v>20566.992567000001</v>
      </c>
      <c r="M138" s="125">
        <f t="shared" si="9"/>
        <v>0.1</v>
      </c>
      <c r="P138" s="31"/>
      <c r="Q138" s="34"/>
    </row>
    <row r="139" spans="1:17" x14ac:dyDescent="0.25">
      <c r="A139" s="215" t="s">
        <v>253</v>
      </c>
      <c r="B139" s="222">
        <v>608152.5</v>
      </c>
      <c r="C139" s="220">
        <v>504705</v>
      </c>
      <c r="D139" s="221">
        <f t="shared" si="8"/>
        <v>0.82989875072453045</v>
      </c>
      <c r="E139" s="128">
        <v>0.3</v>
      </c>
      <c r="F139" s="132">
        <f>IF(E139&gt;D139, E139*B139-C139, 0)</f>
        <v>0</v>
      </c>
      <c r="G139" s="120">
        <f>IF(F139&gt;SUM(H139:K139), F139-SUM(H139:K139), 0)</f>
        <v>0</v>
      </c>
      <c r="H139" s="121"/>
      <c r="K139" s="120">
        <v>0</v>
      </c>
      <c r="L139" s="124">
        <f t="shared" si="10"/>
        <v>0</v>
      </c>
      <c r="M139" s="125">
        <f t="shared" si="9"/>
        <v>0.82989875072453045</v>
      </c>
    </row>
    <row r="140" spans="1:17" x14ac:dyDescent="0.25">
      <c r="A140" s="215" t="s">
        <v>254</v>
      </c>
      <c r="B140" s="222">
        <v>332643.5</v>
      </c>
      <c r="C140" s="118">
        <v>5593.1154509999997</v>
      </c>
      <c r="D140" s="221">
        <f t="shared" si="8"/>
        <v>1.6814143222398752E-2</v>
      </c>
      <c r="E140" s="128"/>
      <c r="F140" s="119"/>
      <c r="G140" s="120"/>
      <c r="H140" s="121"/>
      <c r="K140" s="123"/>
      <c r="L140" s="124">
        <f t="shared" si="10"/>
        <v>0</v>
      </c>
      <c r="M140" s="125">
        <f t="shared" si="9"/>
        <v>1.6814143222398752E-2</v>
      </c>
    </row>
    <row r="141" spans="1:17" x14ac:dyDescent="0.25">
      <c r="A141" s="215" t="s">
        <v>43</v>
      </c>
      <c r="B141" s="222">
        <v>2407381.7999999998</v>
      </c>
      <c r="C141" s="220">
        <v>4586</v>
      </c>
      <c r="D141" s="221">
        <f t="shared" si="8"/>
        <v>1.9049741092169096E-3</v>
      </c>
      <c r="E141" s="128"/>
      <c r="F141" s="119"/>
      <c r="G141" s="120"/>
      <c r="H141" s="121"/>
      <c r="K141" s="123"/>
      <c r="L141" s="124">
        <f t="shared" si="10"/>
        <v>0</v>
      </c>
      <c r="M141" s="125">
        <f t="shared" si="9"/>
        <v>1.9049741092169096E-3</v>
      </c>
    </row>
    <row r="142" spans="1:17" x14ac:dyDescent="0.25">
      <c r="A142" s="215" t="s">
        <v>45</v>
      </c>
      <c r="B142" s="222">
        <v>838329.6</v>
      </c>
      <c r="C142" s="220">
        <v>4034</v>
      </c>
      <c r="D142" s="221">
        <f t="shared" si="8"/>
        <v>4.8119498583850551E-3</v>
      </c>
      <c r="E142" s="128">
        <v>0.04</v>
      </c>
      <c r="F142" s="132">
        <f>IF(E142&gt;D142, E142*B142-C142, 0)</f>
        <v>29499.184000000001</v>
      </c>
      <c r="G142" s="120">
        <f>IF(F142&gt;SUM(H142:K142), F142-SUM(H142:K142), 0)</f>
        <v>29499.184000000001</v>
      </c>
      <c r="H142" s="121"/>
      <c r="K142" s="123"/>
      <c r="L142" s="124">
        <f t="shared" si="10"/>
        <v>29499.184000000001</v>
      </c>
      <c r="M142" s="125">
        <f t="shared" si="9"/>
        <v>0.04</v>
      </c>
    </row>
    <row r="143" spans="1:17" x14ac:dyDescent="0.25">
      <c r="A143" s="215" t="s">
        <v>14</v>
      </c>
      <c r="B143" s="222">
        <v>1835028.2</v>
      </c>
      <c r="C143" s="220">
        <v>21270</v>
      </c>
      <c r="D143" s="221">
        <f t="shared" si="8"/>
        <v>1.1591102523656039E-2</v>
      </c>
      <c r="E143" s="140"/>
      <c r="F143" s="139"/>
      <c r="G143" s="120"/>
      <c r="H143" s="142"/>
      <c r="I143" s="132">
        <v>4412.6819999999998</v>
      </c>
      <c r="K143" s="123"/>
      <c r="L143" s="124">
        <f t="shared" si="10"/>
        <v>4412.6819999999998</v>
      </c>
      <c r="M143" s="125">
        <f t="shared" si="9"/>
        <v>1.3995796903829599E-2</v>
      </c>
    </row>
    <row r="144" spans="1:17" x14ac:dyDescent="0.25">
      <c r="A144" s="215" t="s">
        <v>255</v>
      </c>
      <c r="B144" s="222">
        <v>839479</v>
      </c>
      <c r="C144" s="118">
        <v>839569.39309999999</v>
      </c>
      <c r="D144" s="221">
        <v>1</v>
      </c>
      <c r="E144" s="128"/>
      <c r="F144" s="131"/>
      <c r="G144" s="120"/>
      <c r="H144" s="121"/>
      <c r="K144" s="123"/>
      <c r="L144" s="124">
        <f t="shared" si="10"/>
        <v>0</v>
      </c>
      <c r="M144" s="125">
        <f t="shared" si="9"/>
        <v>1.0001076776190947</v>
      </c>
    </row>
    <row r="145" spans="1:13" x14ac:dyDescent="0.25">
      <c r="A145" s="215" t="s">
        <v>256</v>
      </c>
      <c r="B145" s="222">
        <v>31945.599999999999</v>
      </c>
      <c r="C145" s="118">
        <v>7210.7945200000004</v>
      </c>
      <c r="D145" s="221">
        <f t="shared" ref="D145:D167" si="11">C145/B145</f>
        <v>0.22572105454272265</v>
      </c>
      <c r="E145" s="128"/>
      <c r="F145" s="119"/>
      <c r="G145" s="120"/>
      <c r="H145" s="121"/>
      <c r="K145" s="123"/>
      <c r="L145" s="124">
        <f t="shared" si="10"/>
        <v>0</v>
      </c>
      <c r="M145" s="125">
        <f t="shared" si="9"/>
        <v>0.22572105454272265</v>
      </c>
    </row>
    <row r="146" spans="1:13" x14ac:dyDescent="0.25">
      <c r="A146" s="215" t="s">
        <v>257</v>
      </c>
      <c r="B146" s="222">
        <v>1724156.2</v>
      </c>
      <c r="C146" s="220">
        <v>285596</v>
      </c>
      <c r="D146" s="221">
        <f t="shared" si="11"/>
        <v>0.16564392483697243</v>
      </c>
      <c r="E146" s="128"/>
      <c r="F146" s="119"/>
      <c r="G146" s="120"/>
      <c r="H146" s="121"/>
      <c r="J146" s="122">
        <v>0</v>
      </c>
      <c r="K146" s="123"/>
      <c r="L146" s="124">
        <f t="shared" si="10"/>
        <v>0</v>
      </c>
      <c r="M146" s="125">
        <f t="shared" si="9"/>
        <v>0.16564392483697243</v>
      </c>
    </row>
    <row r="147" spans="1:13" x14ac:dyDescent="0.25">
      <c r="A147" s="215" t="s">
        <v>258</v>
      </c>
      <c r="B147" s="222">
        <v>176163.1</v>
      </c>
      <c r="C147" s="118">
        <v>3077.9288139999999</v>
      </c>
      <c r="D147" s="221">
        <f t="shared" si="11"/>
        <v>1.7472040478397576E-2</v>
      </c>
      <c r="E147" s="128"/>
      <c r="F147" s="119"/>
      <c r="G147" s="120"/>
      <c r="H147" s="121"/>
      <c r="K147" s="120">
        <f>B147*0.2-C147-G147-H147-I147-J147</f>
        <v>32154.691186000004</v>
      </c>
      <c r="L147" s="124">
        <f t="shared" si="10"/>
        <v>32154.691186000004</v>
      </c>
      <c r="M147" s="125">
        <f t="shared" si="9"/>
        <v>0.2</v>
      </c>
    </row>
    <row r="148" spans="1:13" x14ac:dyDescent="0.25">
      <c r="A148" s="215" t="s">
        <v>259</v>
      </c>
      <c r="B148" s="222">
        <v>31987.7</v>
      </c>
      <c r="C148" s="118">
        <v>538.14305899999999</v>
      </c>
      <c r="D148" s="221">
        <f t="shared" si="11"/>
        <v>1.6823437102386228E-2</v>
      </c>
      <c r="E148" s="128"/>
      <c r="F148" s="119"/>
      <c r="G148" s="120"/>
      <c r="H148" s="121"/>
      <c r="K148" s="123"/>
      <c r="L148" s="124">
        <f t="shared" si="10"/>
        <v>0</v>
      </c>
      <c r="M148" s="125">
        <f t="shared" si="9"/>
        <v>1.6823437102386228E-2</v>
      </c>
    </row>
    <row r="149" spans="1:13" x14ac:dyDescent="0.25">
      <c r="A149" s="215" t="s">
        <v>47</v>
      </c>
      <c r="B149" s="222">
        <v>324993.8</v>
      </c>
      <c r="C149" s="220">
        <v>5309</v>
      </c>
      <c r="D149" s="221">
        <f t="shared" si="11"/>
        <v>1.6335696250205388E-2</v>
      </c>
      <c r="E149" s="128">
        <v>0.1</v>
      </c>
      <c r="F149" s="132">
        <f>IF(E149&gt;D149, E149*B149-C149, 0)</f>
        <v>27190.38</v>
      </c>
      <c r="G149" s="120">
        <f>IF(F149&gt;SUM(H149:K149), F149-SUM(H149:K149), 0)</f>
        <v>27190.38</v>
      </c>
      <c r="H149" s="121"/>
      <c r="K149" s="120"/>
      <c r="L149" s="124">
        <f t="shared" si="10"/>
        <v>27190.38</v>
      </c>
      <c r="M149" s="125">
        <f t="shared" si="9"/>
        <v>0.1</v>
      </c>
    </row>
    <row r="150" spans="1:13" x14ac:dyDescent="0.25">
      <c r="A150" s="215" t="s">
        <v>260</v>
      </c>
      <c r="B150" s="222">
        <v>316498.90000000002</v>
      </c>
      <c r="C150" s="118">
        <v>40.707737999999999</v>
      </c>
      <c r="D150" s="221">
        <f t="shared" si="11"/>
        <v>1.2861889251431836E-4</v>
      </c>
      <c r="E150" s="128"/>
      <c r="F150" s="119"/>
      <c r="G150" s="120"/>
      <c r="H150" s="121"/>
      <c r="K150" s="123"/>
      <c r="L150" s="124">
        <f t="shared" si="10"/>
        <v>0</v>
      </c>
      <c r="M150" s="125">
        <f t="shared" si="9"/>
        <v>1.2861889251431836E-4</v>
      </c>
    </row>
    <row r="151" spans="1:13" x14ac:dyDescent="0.25">
      <c r="A151" s="215" t="s">
        <v>261</v>
      </c>
      <c r="B151" s="222">
        <v>29726.400000000001</v>
      </c>
      <c r="C151" s="118">
        <v>6865.6076139999996</v>
      </c>
      <c r="D151" s="221">
        <f t="shared" si="11"/>
        <v>0.23095994180257276</v>
      </c>
      <c r="E151" s="128"/>
      <c r="F151" s="131"/>
      <c r="G151" s="120"/>
      <c r="H151" s="121"/>
      <c r="K151" s="123"/>
      <c r="L151" s="124">
        <f t="shared" si="10"/>
        <v>0</v>
      </c>
      <c r="M151" s="125">
        <f t="shared" si="9"/>
        <v>0.23095994180257276</v>
      </c>
    </row>
    <row r="152" spans="1:13" x14ac:dyDescent="0.25">
      <c r="A152" s="215" t="s">
        <v>106</v>
      </c>
      <c r="B152" s="222">
        <v>7673314.0999999996</v>
      </c>
      <c r="C152" s="220">
        <v>228243</v>
      </c>
      <c r="D152" s="221">
        <f t="shared" si="11"/>
        <v>2.9745035459971592E-2</v>
      </c>
      <c r="E152" s="128">
        <v>0.1</v>
      </c>
      <c r="F152" s="132">
        <f>IF(E152&gt;D152, E152*B152-C152, 0)</f>
        <v>539088.41</v>
      </c>
      <c r="G152" s="120">
        <f>IF(F152&gt;SUM(H152:K152), F152-SUM(H152:K152), 0)</f>
        <v>539088.41</v>
      </c>
      <c r="H152" s="121"/>
      <c r="K152" s="120"/>
      <c r="L152" s="124">
        <f t="shared" si="10"/>
        <v>539088.41</v>
      </c>
      <c r="M152" s="125">
        <f t="shared" si="9"/>
        <v>0.1</v>
      </c>
    </row>
    <row r="153" spans="1:13" x14ac:dyDescent="0.25">
      <c r="A153" s="215" t="s">
        <v>262</v>
      </c>
      <c r="B153" s="222">
        <v>4317.8999999999996</v>
      </c>
      <c r="C153" s="118">
        <v>4243.8931679999996</v>
      </c>
      <c r="D153" s="221">
        <f t="shared" si="11"/>
        <v>0.98286045716667825</v>
      </c>
      <c r="E153" s="128"/>
      <c r="F153" s="119"/>
      <c r="G153" s="120"/>
      <c r="H153" s="121"/>
      <c r="K153" s="123"/>
      <c r="L153" s="124">
        <f t="shared" si="10"/>
        <v>0</v>
      </c>
      <c r="M153" s="125">
        <f t="shared" si="9"/>
        <v>0.98286045716667825</v>
      </c>
    </row>
    <row r="154" spans="1:13" x14ac:dyDescent="0.25">
      <c r="A154" s="215" t="s">
        <v>263</v>
      </c>
      <c r="B154" s="222">
        <v>1647745.1</v>
      </c>
      <c r="C154" s="118">
        <v>453612.55940000003</v>
      </c>
      <c r="D154" s="221">
        <f t="shared" si="11"/>
        <v>0.27529291963908736</v>
      </c>
      <c r="E154" s="128"/>
      <c r="F154" s="131"/>
      <c r="G154" s="120"/>
      <c r="H154" s="121"/>
      <c r="K154" s="242">
        <v>970510</v>
      </c>
      <c r="L154" s="124">
        <f t="shared" si="10"/>
        <v>970510</v>
      </c>
      <c r="M154" s="125">
        <f t="shared" si="9"/>
        <v>0.8642857195569873</v>
      </c>
    </row>
    <row r="155" spans="1:13" x14ac:dyDescent="0.25">
      <c r="A155" s="215" t="s">
        <v>264</v>
      </c>
      <c r="B155" s="222">
        <v>10262.9</v>
      </c>
      <c r="C155" s="118">
        <v>17.436921000000002</v>
      </c>
      <c r="D155" s="221">
        <f t="shared" si="11"/>
        <v>1.6990247395960209E-3</v>
      </c>
      <c r="E155" s="128"/>
      <c r="F155" s="119"/>
      <c r="G155" s="120"/>
      <c r="H155" s="144">
        <f>0.1*B155-C155</f>
        <v>1008.853079</v>
      </c>
      <c r="I155" s="122">
        <v>34.99</v>
      </c>
      <c r="K155" s="120">
        <f>B155*0.2-C155-G155-H155-I155-J155</f>
        <v>991.3</v>
      </c>
      <c r="L155" s="124">
        <f t="shared" si="10"/>
        <v>2035.1430789999999</v>
      </c>
      <c r="M155" s="125">
        <f t="shared" si="9"/>
        <v>0.2</v>
      </c>
    </row>
    <row r="156" spans="1:13" x14ac:dyDescent="0.25">
      <c r="A156" s="215" t="s">
        <v>265</v>
      </c>
      <c r="B156" s="222">
        <v>15560.3</v>
      </c>
      <c r="C156" s="118">
        <v>34.007035999999999</v>
      </c>
      <c r="D156" s="221">
        <f t="shared" si="11"/>
        <v>2.1855000224931397E-3</v>
      </c>
      <c r="E156" s="128"/>
      <c r="F156" s="119"/>
      <c r="G156" s="120"/>
      <c r="H156" s="144">
        <f>0.1*B156-C156</f>
        <v>1522.022964</v>
      </c>
      <c r="K156" s="120">
        <f>B156*0.2-C156-G156-H156-I156-J156</f>
        <v>1556.03</v>
      </c>
      <c r="L156" s="124">
        <f t="shared" si="10"/>
        <v>3078.052964</v>
      </c>
      <c r="M156" s="125">
        <f t="shared" si="9"/>
        <v>0.2</v>
      </c>
    </row>
    <row r="157" spans="1:13" x14ac:dyDescent="0.25">
      <c r="A157" s="215" t="s">
        <v>266</v>
      </c>
      <c r="B157" s="222">
        <v>1068.7</v>
      </c>
      <c r="C157" s="130">
        <v>1030.5363170000001</v>
      </c>
      <c r="D157" s="221">
        <f t="shared" si="11"/>
        <v>0.96428962009918595</v>
      </c>
      <c r="E157" s="128"/>
      <c r="F157" s="119"/>
      <c r="G157" s="120"/>
      <c r="H157" s="126"/>
      <c r="I157" s="127"/>
      <c r="J157" s="127"/>
      <c r="K157" s="123"/>
      <c r="L157" s="124">
        <f t="shared" si="10"/>
        <v>0</v>
      </c>
      <c r="M157" s="125">
        <f t="shared" si="9"/>
        <v>0.96428962009918595</v>
      </c>
    </row>
    <row r="158" spans="1:13" x14ac:dyDescent="0.25">
      <c r="A158" s="215" t="s">
        <v>267</v>
      </c>
      <c r="B158" s="222">
        <v>12367.3</v>
      </c>
      <c r="C158" s="130">
        <v>7.0218619999999996</v>
      </c>
      <c r="D158" s="221">
        <f t="shared" si="11"/>
        <v>5.6777647505922881E-4</v>
      </c>
      <c r="E158" s="128"/>
      <c r="F158" s="119"/>
      <c r="G158" s="120"/>
      <c r="H158" s="126"/>
      <c r="I158" s="127"/>
      <c r="J158" s="127"/>
      <c r="K158" s="123"/>
      <c r="L158" s="124">
        <f t="shared" si="10"/>
        <v>0</v>
      </c>
      <c r="M158" s="125">
        <f t="shared" si="9"/>
        <v>5.6777647505922881E-4</v>
      </c>
    </row>
    <row r="159" spans="1:13" x14ac:dyDescent="0.25">
      <c r="A159" s="215" t="s">
        <v>268</v>
      </c>
      <c r="B159" s="222">
        <v>36510.9</v>
      </c>
      <c r="C159" s="130">
        <v>80.359650999999999</v>
      </c>
      <c r="D159" s="221">
        <f t="shared" si="11"/>
        <v>2.2009769959108103E-3</v>
      </c>
      <c r="E159" s="138">
        <v>0.2</v>
      </c>
      <c r="F159" s="132">
        <f>IF(E159&gt;D159,E159*B159-C159,0)</f>
        <v>7221.8203490000005</v>
      </c>
      <c r="G159" s="120">
        <f>IF(F159&gt;SUM(H159:J159), F159-SUM(H159:J159), 0)</f>
        <v>5905.7403490000006</v>
      </c>
      <c r="H159" s="145">
        <f>'Priority Actions'!C18</f>
        <v>1316.08</v>
      </c>
      <c r="I159" s="127"/>
      <c r="J159" s="127"/>
      <c r="K159" s="120">
        <f>B159*0.2-C159-G159-H159-I159-J159</f>
        <v>0</v>
      </c>
      <c r="L159" s="124">
        <f t="shared" si="10"/>
        <v>7221.8203490000005</v>
      </c>
      <c r="M159" s="125">
        <f t="shared" si="9"/>
        <v>0.2</v>
      </c>
    </row>
    <row r="160" spans="1:13" x14ac:dyDescent="0.25">
      <c r="A160" s="215" t="s">
        <v>108</v>
      </c>
      <c r="B160" s="222">
        <v>132305.60000000001</v>
      </c>
      <c r="C160" s="130">
        <v>114.846968</v>
      </c>
      <c r="D160" s="221">
        <f t="shared" si="11"/>
        <v>8.6804313649611203E-4</v>
      </c>
      <c r="E160" s="128">
        <v>0.1</v>
      </c>
      <c r="F160" s="132">
        <f>IF(E160&gt;D160, E160*B160-C160, 0)</f>
        <v>13115.713032000001</v>
      </c>
      <c r="G160" s="120">
        <f>IF(F160&gt;SUM(H160:K160), F160-SUM(H160:K160), 0)</f>
        <v>13115.713032000001</v>
      </c>
      <c r="H160" s="126"/>
      <c r="I160" s="127"/>
      <c r="J160" s="127"/>
      <c r="K160" s="120"/>
      <c r="L160" s="124">
        <f t="shared" si="10"/>
        <v>13115.713032000001</v>
      </c>
      <c r="M160" s="125">
        <f t="shared" si="9"/>
        <v>0.1</v>
      </c>
    </row>
    <row r="161" spans="1:13" x14ac:dyDescent="0.25">
      <c r="A161" s="215" t="s">
        <v>269</v>
      </c>
      <c r="B161" s="222">
        <v>131709.20000000001</v>
      </c>
      <c r="C161" s="130">
        <v>35.280222000000002</v>
      </c>
      <c r="D161" s="221">
        <f t="shared" si="11"/>
        <v>2.6786452275163769E-4</v>
      </c>
      <c r="E161" s="128"/>
      <c r="F161" s="119"/>
      <c r="G161" s="120"/>
      <c r="H161" s="126"/>
      <c r="I161" s="127"/>
      <c r="J161" s="127"/>
      <c r="K161" s="123"/>
      <c r="L161" s="124">
        <f t="shared" si="10"/>
        <v>0</v>
      </c>
      <c r="M161" s="125">
        <f t="shared" si="9"/>
        <v>2.6786452275163769E-4</v>
      </c>
    </row>
    <row r="162" spans="1:13" x14ac:dyDescent="0.25">
      <c r="A162" s="215" t="s">
        <v>15</v>
      </c>
      <c r="B162" s="222">
        <v>220338.2</v>
      </c>
      <c r="C162" s="118">
        <v>5495.4524920000003</v>
      </c>
      <c r="D162" s="221">
        <f t="shared" si="11"/>
        <v>2.4940988407820341E-2</v>
      </c>
      <c r="E162" s="128"/>
      <c r="F162" s="131"/>
      <c r="G162" s="120"/>
      <c r="H162" s="147">
        <v>11614.33</v>
      </c>
      <c r="K162" s="123"/>
      <c r="L162" s="124">
        <f t="shared" si="10"/>
        <v>11614.33</v>
      </c>
      <c r="M162" s="125">
        <f t="shared" si="9"/>
        <v>7.7652365735945916E-2</v>
      </c>
    </row>
    <row r="163" spans="1:13" x14ac:dyDescent="0.25">
      <c r="A163" s="215" t="s">
        <v>49</v>
      </c>
      <c r="B163" s="222">
        <v>158426.4</v>
      </c>
      <c r="C163" s="118">
        <v>1766.1750050000001</v>
      </c>
      <c r="D163" s="221">
        <f t="shared" si="11"/>
        <v>1.1148236689087173E-2</v>
      </c>
      <c r="E163" s="128"/>
      <c r="F163" s="119"/>
      <c r="G163" s="120"/>
      <c r="H163" s="121"/>
      <c r="K163" s="123"/>
      <c r="L163" s="124">
        <f t="shared" si="10"/>
        <v>0</v>
      </c>
      <c r="M163" s="125">
        <f t="shared" si="9"/>
        <v>1.1148236689087173E-2</v>
      </c>
    </row>
    <row r="164" spans="1:13" x14ac:dyDescent="0.25">
      <c r="A164" s="215" t="s">
        <v>109</v>
      </c>
      <c r="B164" s="222">
        <v>1340839.5</v>
      </c>
      <c r="C164" s="118">
        <v>484.08023400000002</v>
      </c>
      <c r="D164" s="221">
        <f t="shared" si="11"/>
        <v>3.6102772479480207E-4</v>
      </c>
      <c r="E164" s="128">
        <v>0.1</v>
      </c>
      <c r="F164" s="132">
        <f>IF(E164&gt;D164, E164*B164-C164, 0)</f>
        <v>133599.86976600002</v>
      </c>
      <c r="G164" s="120">
        <f>IF(F164&gt;SUM(H164:K164), F164-SUM(H164:K164), 0)</f>
        <v>0</v>
      </c>
      <c r="H164" s="121"/>
      <c r="I164" s="122">
        <v>11.5</v>
      </c>
      <c r="J164" s="122">
        <f>0.3*B164-C164-I164</f>
        <v>401756.26976599998</v>
      </c>
      <c r="K164" s="120"/>
      <c r="L164" s="124">
        <f t="shared" si="10"/>
        <v>401767.76976599998</v>
      </c>
      <c r="M164" s="125">
        <f t="shared" si="9"/>
        <v>0.3</v>
      </c>
    </row>
    <row r="165" spans="1:13" x14ac:dyDescent="0.25">
      <c r="A165" s="215" t="s">
        <v>51</v>
      </c>
      <c r="B165" s="222">
        <v>160452.6</v>
      </c>
      <c r="C165" s="118">
        <v>862.533185</v>
      </c>
      <c r="D165" s="221">
        <f t="shared" si="11"/>
        <v>5.3756261039085681E-3</v>
      </c>
      <c r="E165" s="128"/>
      <c r="F165" s="119"/>
      <c r="G165" s="120"/>
      <c r="H165" s="121"/>
      <c r="K165" s="123"/>
      <c r="L165" s="124">
        <f t="shared" si="10"/>
        <v>0</v>
      </c>
      <c r="M165" s="125">
        <f t="shared" si="9"/>
        <v>5.3756261039085681E-3</v>
      </c>
    </row>
    <row r="166" spans="1:13" x14ac:dyDescent="0.25">
      <c r="A166" s="215" t="s">
        <v>270</v>
      </c>
      <c r="B166" s="222">
        <v>762.7</v>
      </c>
      <c r="C166" s="118">
        <v>0.100552</v>
      </c>
      <c r="D166" s="221">
        <f t="shared" si="11"/>
        <v>1.3183689524059263E-4</v>
      </c>
      <c r="E166" s="128"/>
      <c r="F166" s="119"/>
      <c r="G166" s="120"/>
      <c r="H166" s="121"/>
      <c r="K166" s="123"/>
      <c r="L166" s="124">
        <f t="shared" si="10"/>
        <v>0</v>
      </c>
      <c r="M166" s="125">
        <f t="shared" si="9"/>
        <v>1.3183689524059263E-4</v>
      </c>
    </row>
    <row r="167" spans="1:13" x14ac:dyDescent="0.25">
      <c r="A167" s="215" t="s">
        <v>271</v>
      </c>
      <c r="B167" s="222">
        <v>497.5</v>
      </c>
      <c r="C167" s="130">
        <v>43.282473000000003</v>
      </c>
      <c r="D167" s="221">
        <f t="shared" si="11"/>
        <v>8.6999945728643224E-2</v>
      </c>
      <c r="E167" s="128"/>
      <c r="F167" s="131"/>
      <c r="G167" s="120"/>
      <c r="H167" s="126"/>
      <c r="I167" s="127"/>
      <c r="J167" s="127"/>
      <c r="K167" s="123"/>
      <c r="L167" s="124">
        <f t="shared" si="10"/>
        <v>0</v>
      </c>
      <c r="M167" s="125">
        <f t="shared" si="9"/>
        <v>8.6999945728643224E-2</v>
      </c>
    </row>
    <row r="168" spans="1:13" x14ac:dyDescent="0.25">
      <c r="A168" s="215" t="s">
        <v>272</v>
      </c>
      <c r="B168" s="222">
        <v>186.3</v>
      </c>
      <c r="C168" s="130">
        <v>396.97065900000001</v>
      </c>
      <c r="D168" s="221">
        <v>1</v>
      </c>
      <c r="E168" s="128"/>
      <c r="F168" s="119"/>
      <c r="G168" s="120"/>
      <c r="H168" s="126"/>
      <c r="I168" s="127"/>
      <c r="J168" s="127"/>
      <c r="K168" s="123"/>
      <c r="L168" s="124">
        <f t="shared" si="10"/>
        <v>0</v>
      </c>
      <c r="M168" s="125">
        <f t="shared" si="9"/>
        <v>2.1308140579710146</v>
      </c>
    </row>
    <row r="169" spans="1:13" x14ac:dyDescent="0.25">
      <c r="A169" s="215" t="s">
        <v>110</v>
      </c>
      <c r="B169" s="222">
        <v>1609756.5</v>
      </c>
      <c r="C169" s="130">
        <v>1900.401603</v>
      </c>
      <c r="D169" s="221">
        <f t="shared" ref="D169:D205" si="12">C169/B169</f>
        <v>1.1805522158164915E-3</v>
      </c>
      <c r="E169" s="128">
        <v>0.15</v>
      </c>
      <c r="F169" s="132">
        <f>IF(E169&gt;D169, E169*B169-C169, 0)</f>
        <v>239563.07339699997</v>
      </c>
      <c r="G169" s="120">
        <f>IF(F169&gt;SUM(H169:K169), F169-SUM(H169:K169), 0)</f>
        <v>239563.07339699997</v>
      </c>
      <c r="H169" s="126"/>
      <c r="I169" s="127"/>
      <c r="J169" s="127"/>
      <c r="K169" s="120"/>
      <c r="L169" s="124">
        <f t="shared" si="10"/>
        <v>239563.07339699997</v>
      </c>
      <c r="M169" s="125">
        <f t="shared" si="9"/>
        <v>0.15</v>
      </c>
    </row>
    <row r="170" spans="1:13" x14ac:dyDescent="0.25">
      <c r="A170" s="215" t="s">
        <v>273</v>
      </c>
      <c r="B170" s="222">
        <v>784501.56423777901</v>
      </c>
      <c r="C170" s="130">
        <v>0</v>
      </c>
      <c r="D170" s="221">
        <f t="shared" si="12"/>
        <v>0</v>
      </c>
      <c r="E170" s="128">
        <v>0.1</v>
      </c>
      <c r="F170" s="139" t="s">
        <v>363</v>
      </c>
      <c r="G170" s="120"/>
      <c r="H170" s="126"/>
      <c r="I170" s="127"/>
      <c r="J170" s="127"/>
      <c r="K170" s="123"/>
      <c r="L170" s="124">
        <f t="shared" si="10"/>
        <v>0</v>
      </c>
      <c r="M170" s="125">
        <f t="shared" si="9"/>
        <v>0</v>
      </c>
    </row>
    <row r="171" spans="1:13" x14ac:dyDescent="0.25">
      <c r="A171" s="215" t="s">
        <v>152</v>
      </c>
      <c r="B171" s="222">
        <v>1542559.9</v>
      </c>
      <c r="C171" s="220">
        <v>185943</v>
      </c>
      <c r="D171" s="221">
        <f t="shared" si="12"/>
        <v>0.12054183438840853</v>
      </c>
      <c r="E171" s="128" t="s">
        <v>449</v>
      </c>
      <c r="F171" s="139" t="s">
        <v>362</v>
      </c>
      <c r="G171" s="120"/>
      <c r="H171" s="143"/>
      <c r="I171" s="127">
        <v>200</v>
      </c>
      <c r="J171" s="127"/>
      <c r="K171" s="114">
        <v>53594.15</v>
      </c>
      <c r="L171" s="124">
        <f t="shared" si="10"/>
        <v>53794.15</v>
      </c>
      <c r="M171" s="125">
        <f t="shared" si="9"/>
        <v>0.15541513169115831</v>
      </c>
    </row>
    <row r="172" spans="1:13" x14ac:dyDescent="0.25">
      <c r="A172" s="215" t="s">
        <v>274</v>
      </c>
      <c r="B172" s="222">
        <v>1445886.7</v>
      </c>
      <c r="C172" s="130">
        <v>1065900.0449999999</v>
      </c>
      <c r="D172" s="221">
        <f t="shared" si="12"/>
        <v>0.73719472279536147</v>
      </c>
      <c r="E172" s="128"/>
      <c r="F172" s="131"/>
      <c r="G172" s="120"/>
      <c r="H172" s="126"/>
      <c r="I172" s="127"/>
      <c r="J172" s="127"/>
      <c r="K172" s="123"/>
      <c r="L172" s="124">
        <f t="shared" si="10"/>
        <v>0</v>
      </c>
      <c r="M172" s="125">
        <f t="shared" si="9"/>
        <v>0.73719472279536147</v>
      </c>
    </row>
    <row r="173" spans="1:13" x14ac:dyDescent="0.25">
      <c r="A173" s="215" t="s">
        <v>275</v>
      </c>
      <c r="B173" s="222">
        <v>1005717.3</v>
      </c>
      <c r="C173" s="220">
        <v>84225</v>
      </c>
      <c r="D173" s="221">
        <f t="shared" si="12"/>
        <v>8.3746197862958102E-2</v>
      </c>
      <c r="E173" s="128"/>
      <c r="F173" s="131"/>
      <c r="G173" s="120"/>
      <c r="H173" s="121"/>
      <c r="K173" s="123"/>
      <c r="L173" s="124">
        <f t="shared" si="10"/>
        <v>0</v>
      </c>
      <c r="M173" s="125">
        <f t="shared" si="9"/>
        <v>8.3746197862958102E-2</v>
      </c>
    </row>
    <row r="174" spans="1:13" x14ac:dyDescent="0.25">
      <c r="A174" s="215" t="s">
        <v>53</v>
      </c>
      <c r="B174" s="222">
        <v>534085</v>
      </c>
      <c r="C174" s="118">
        <v>398.56442500000003</v>
      </c>
      <c r="D174" s="221">
        <f t="shared" si="12"/>
        <v>7.4625654156173647E-4</v>
      </c>
      <c r="E174" s="128"/>
      <c r="F174" s="134"/>
      <c r="G174" s="120"/>
      <c r="H174" s="121"/>
      <c r="J174" s="122">
        <v>1000</v>
      </c>
      <c r="K174" s="123"/>
      <c r="L174" s="124">
        <f t="shared" si="10"/>
        <v>1000</v>
      </c>
      <c r="M174" s="125">
        <f t="shared" si="9"/>
        <v>2.6186176825786158E-3</v>
      </c>
    </row>
    <row r="175" spans="1:13" x14ac:dyDescent="0.25">
      <c r="A175" s="215" t="s">
        <v>61</v>
      </c>
      <c r="B175" s="222">
        <v>66785.600000000006</v>
      </c>
      <c r="C175" s="151">
        <v>10661.95429</v>
      </c>
      <c r="D175" s="225">
        <f t="shared" si="12"/>
        <v>0.15964450854675258</v>
      </c>
      <c r="E175" s="128">
        <v>0.1</v>
      </c>
      <c r="F175" s="132">
        <f>IF(E175&gt;D175, E175*B175-C175, 0)</f>
        <v>0</v>
      </c>
      <c r="G175" s="120">
        <f>IF(F175&gt;SUM(H175:K175), F175-SUM(H175:K175), 0)</f>
        <v>0</v>
      </c>
      <c r="H175" s="121">
        <v>2000</v>
      </c>
      <c r="K175" s="120"/>
      <c r="L175" s="124">
        <f t="shared" si="10"/>
        <v>2000</v>
      </c>
      <c r="M175" s="125">
        <f t="shared" si="9"/>
        <v>0.18959108385640017</v>
      </c>
    </row>
    <row r="176" spans="1:13" x14ac:dyDescent="0.25">
      <c r="A176" s="215" t="s">
        <v>276</v>
      </c>
      <c r="B176" s="222">
        <v>128363</v>
      </c>
      <c r="C176" s="118">
        <v>1980.928255</v>
      </c>
      <c r="D176" s="221">
        <f t="shared" si="12"/>
        <v>1.5432237132195414E-2</v>
      </c>
      <c r="E176" s="128"/>
      <c r="F176" s="119"/>
      <c r="G176" s="120"/>
      <c r="H176" s="121"/>
      <c r="K176" s="123"/>
      <c r="L176" s="124">
        <f t="shared" si="10"/>
        <v>0</v>
      </c>
      <c r="M176" s="125">
        <f t="shared" si="9"/>
        <v>1.5432237132195414E-2</v>
      </c>
    </row>
    <row r="177" spans="1:18" x14ac:dyDescent="0.25">
      <c r="A177" s="215" t="s">
        <v>277</v>
      </c>
      <c r="B177" s="222">
        <v>1081582.1000000001</v>
      </c>
      <c r="C177" s="220">
        <v>82726</v>
      </c>
      <c r="D177" s="221">
        <f t="shared" si="12"/>
        <v>7.6486103089169089E-2</v>
      </c>
      <c r="E177" s="128"/>
      <c r="F177" s="119"/>
      <c r="G177" s="120"/>
      <c r="H177" s="126"/>
      <c r="I177" s="127"/>
      <c r="J177" s="127"/>
      <c r="K177" s="123"/>
      <c r="L177" s="124">
        <f t="shared" si="10"/>
        <v>0</v>
      </c>
      <c r="M177" s="125">
        <f t="shared" si="9"/>
        <v>7.6486103089169089E-2</v>
      </c>
      <c r="P177" s="31"/>
      <c r="Q177" s="34"/>
      <c r="R177" s="327"/>
    </row>
    <row r="178" spans="1:18" x14ac:dyDescent="0.25">
      <c r="A178" s="215" t="s">
        <v>113</v>
      </c>
      <c r="B178" s="222">
        <v>154980.5</v>
      </c>
      <c r="C178" s="220">
        <v>23605</v>
      </c>
      <c r="D178" s="221">
        <f t="shared" si="12"/>
        <v>0.15230948409638631</v>
      </c>
      <c r="E178" s="128">
        <v>0.1</v>
      </c>
      <c r="F178" s="132">
        <f>IF(E178&gt;D178, E178*B178-C178, 0)</f>
        <v>0</v>
      </c>
      <c r="G178" s="120">
        <f>IF(F178&gt;SUM(H178:K178), F178-SUM(H178:K178), 0)</f>
        <v>0</v>
      </c>
      <c r="H178" s="126"/>
      <c r="I178" s="127"/>
      <c r="J178" s="127"/>
      <c r="K178" s="120"/>
      <c r="L178" s="124">
        <f t="shared" si="10"/>
        <v>0</v>
      </c>
      <c r="M178" s="125">
        <f t="shared" si="9"/>
        <v>0.15230948409638631</v>
      </c>
      <c r="P178" s="31"/>
      <c r="Q178" s="34"/>
      <c r="R178" s="327"/>
    </row>
    <row r="179" spans="1:18" x14ac:dyDescent="0.25">
      <c r="A179" s="215" t="s">
        <v>278</v>
      </c>
      <c r="B179" s="222">
        <v>10203.6</v>
      </c>
      <c r="C179" s="130">
        <v>25.201794</v>
      </c>
      <c r="D179" s="221">
        <f t="shared" si="12"/>
        <v>2.4698923909208513E-3</v>
      </c>
      <c r="E179" s="128"/>
      <c r="F179" s="131"/>
      <c r="G179" s="120"/>
      <c r="H179" s="126"/>
      <c r="I179" s="127"/>
      <c r="J179" s="127"/>
      <c r="K179" s="123"/>
      <c r="L179" s="124">
        <f t="shared" si="10"/>
        <v>0</v>
      </c>
      <c r="M179" s="125">
        <f t="shared" si="9"/>
        <v>2.4698923909208513E-3</v>
      </c>
      <c r="P179" s="31"/>
      <c r="Q179" s="305"/>
      <c r="R179" s="327"/>
    </row>
    <row r="180" spans="1:18" x14ac:dyDescent="0.25">
      <c r="A180" s="215" t="s">
        <v>279</v>
      </c>
      <c r="B180" s="222">
        <v>342996.9</v>
      </c>
      <c r="C180" s="130">
        <v>3846.4853899999998</v>
      </c>
      <c r="D180" s="221">
        <f t="shared" si="12"/>
        <v>1.1214344473667254E-2</v>
      </c>
      <c r="E180" s="128"/>
      <c r="F180" s="119"/>
      <c r="G180" s="120"/>
      <c r="H180" s="126"/>
      <c r="I180" s="127"/>
      <c r="J180" s="127"/>
      <c r="K180" s="123"/>
      <c r="L180" s="124">
        <f t="shared" si="10"/>
        <v>0</v>
      </c>
      <c r="M180" s="125">
        <f t="shared" si="9"/>
        <v>1.1214344473667254E-2</v>
      </c>
      <c r="P180" s="31"/>
      <c r="Q180" s="34"/>
      <c r="R180" s="327"/>
    </row>
    <row r="181" spans="1:18" x14ac:dyDescent="0.25">
      <c r="A181" s="215" t="s">
        <v>280</v>
      </c>
      <c r="B181" s="222">
        <v>306890.5</v>
      </c>
      <c r="C181" s="130">
        <v>5773.7995780000001</v>
      </c>
      <c r="D181" s="221">
        <f t="shared" si="12"/>
        <v>1.8813875235629648E-2</v>
      </c>
      <c r="E181" s="128"/>
      <c r="F181" s="119"/>
      <c r="G181" s="120"/>
      <c r="H181" s="126"/>
      <c r="I181" s="127"/>
      <c r="J181" s="127">
        <v>7000</v>
      </c>
      <c r="K181" s="123"/>
      <c r="L181" s="124">
        <f t="shared" si="10"/>
        <v>7000</v>
      </c>
      <c r="M181" s="125">
        <f t="shared" si="9"/>
        <v>4.1623313781299846E-2</v>
      </c>
      <c r="P181" s="304"/>
      <c r="Q181" s="305"/>
      <c r="R181" s="327"/>
    </row>
    <row r="182" spans="1:18" x14ac:dyDescent="0.25">
      <c r="A182" s="215" t="s">
        <v>281</v>
      </c>
      <c r="B182" s="222">
        <v>42501.3</v>
      </c>
      <c r="C182" s="130">
        <v>584.11056699999995</v>
      </c>
      <c r="D182" s="221">
        <f t="shared" si="12"/>
        <v>1.3743357662000924E-2</v>
      </c>
      <c r="E182" s="128"/>
      <c r="F182" s="131"/>
      <c r="G182" s="120"/>
      <c r="H182" s="126"/>
      <c r="I182" s="127"/>
      <c r="J182" s="127">
        <v>6450</v>
      </c>
      <c r="K182" s="123"/>
      <c r="L182" s="124">
        <f t="shared" si="10"/>
        <v>6450</v>
      </c>
      <c r="M182" s="125">
        <f t="shared" si="9"/>
        <v>0.16550342147181379</v>
      </c>
      <c r="P182" s="327"/>
      <c r="Q182" s="327"/>
      <c r="R182" s="327"/>
    </row>
    <row r="183" spans="1:18" x14ac:dyDescent="0.25">
      <c r="A183" s="215" t="s">
        <v>54</v>
      </c>
      <c r="B183" s="222">
        <v>15520.9</v>
      </c>
      <c r="C183" s="130">
        <v>30.987414000000001</v>
      </c>
      <c r="D183" s="221">
        <f t="shared" si="12"/>
        <v>1.9964959506214202E-3</v>
      </c>
      <c r="E183" s="128"/>
      <c r="F183" s="119"/>
      <c r="G183" s="120"/>
      <c r="H183" s="126"/>
      <c r="I183" s="127"/>
      <c r="J183" s="127"/>
      <c r="K183" s="123"/>
      <c r="L183" s="124">
        <f t="shared" si="10"/>
        <v>0</v>
      </c>
      <c r="M183" s="125">
        <f t="shared" si="9"/>
        <v>1.9964959506214202E-3</v>
      </c>
      <c r="P183" s="327"/>
      <c r="Q183" s="327"/>
      <c r="R183" s="327"/>
    </row>
    <row r="184" spans="1:18" x14ac:dyDescent="0.25">
      <c r="A184" s="215" t="s">
        <v>282</v>
      </c>
      <c r="B184" s="222">
        <v>321242.5</v>
      </c>
      <c r="C184" s="130">
        <v>9.5106339999999996</v>
      </c>
      <c r="D184" s="221">
        <f t="shared" si="12"/>
        <v>2.960577756679144E-5</v>
      </c>
      <c r="E184" s="128"/>
      <c r="F184" s="119"/>
      <c r="G184" s="120"/>
      <c r="H184" s="126"/>
      <c r="I184" s="127"/>
      <c r="J184" s="127"/>
      <c r="K184" s="123"/>
      <c r="L184" s="124">
        <f t="shared" si="10"/>
        <v>0</v>
      </c>
      <c r="M184" s="125">
        <f t="shared" si="9"/>
        <v>2.960577756679144E-5</v>
      </c>
    </row>
    <row r="185" spans="1:18" x14ac:dyDescent="0.25">
      <c r="A185" s="215" t="s">
        <v>56</v>
      </c>
      <c r="B185" s="222">
        <v>668054.6</v>
      </c>
      <c r="C185" s="130">
        <v>10055.159879999999</v>
      </c>
      <c r="D185" s="221">
        <f t="shared" si="12"/>
        <v>1.5051404301384946E-2</v>
      </c>
      <c r="E185" s="128"/>
      <c r="F185" s="119"/>
      <c r="G185" s="120"/>
      <c r="H185" s="126"/>
      <c r="I185" s="127"/>
      <c r="J185" s="127">
        <f>0.1*B185-C185</f>
        <v>56750.300120000007</v>
      </c>
      <c r="K185" s="123"/>
      <c r="L185" s="124">
        <f t="shared" si="10"/>
        <v>56750.300120000007</v>
      </c>
      <c r="M185" s="125">
        <f t="shared" si="9"/>
        <v>0.10000000000000002</v>
      </c>
    </row>
    <row r="186" spans="1:18" x14ac:dyDescent="0.25">
      <c r="A186" s="215" t="s">
        <v>283</v>
      </c>
      <c r="B186" s="222">
        <v>75798.5</v>
      </c>
      <c r="C186" s="130">
        <v>37.071976999999997</v>
      </c>
      <c r="D186" s="221">
        <f t="shared" si="12"/>
        <v>4.8908589220103299E-4</v>
      </c>
      <c r="E186" s="128">
        <v>0.1</v>
      </c>
      <c r="F186" s="132">
        <f>IF(E186&gt;D186, E186*B186-C186, 0)</f>
        <v>7542.7780230000008</v>
      </c>
      <c r="G186" s="120">
        <f>IF(F186&gt;SUM(H186:K186), F186-SUM(H186:K186), 0)</f>
        <v>7542.7780230000008</v>
      </c>
      <c r="H186" s="126"/>
      <c r="I186" s="127"/>
      <c r="J186" s="127"/>
      <c r="K186" s="123"/>
      <c r="L186" s="124">
        <f t="shared" si="10"/>
        <v>7542.7780230000008</v>
      </c>
      <c r="M186" s="125">
        <f t="shared" si="9"/>
        <v>0.1</v>
      </c>
    </row>
    <row r="187" spans="1:18" x14ac:dyDescent="0.25">
      <c r="A187" s="215" t="s">
        <v>284</v>
      </c>
      <c r="B187" s="222">
        <v>100660.5</v>
      </c>
      <c r="C187" s="130">
        <v>1042.360893</v>
      </c>
      <c r="D187" s="221">
        <f t="shared" si="12"/>
        <v>1.0355212749787653E-2</v>
      </c>
      <c r="E187" s="128"/>
      <c r="F187" s="131"/>
      <c r="G187" s="120"/>
      <c r="H187" s="126"/>
      <c r="I187" s="127"/>
      <c r="J187" s="127"/>
      <c r="K187" s="123"/>
      <c r="L187" s="124">
        <f t="shared" si="10"/>
        <v>0</v>
      </c>
      <c r="M187" s="125">
        <f t="shared" si="9"/>
        <v>1.0355212749787653E-2</v>
      </c>
    </row>
    <row r="188" spans="1:18" x14ac:dyDescent="0.25">
      <c r="A188" s="215" t="s">
        <v>285</v>
      </c>
      <c r="B188" s="222">
        <v>255926</v>
      </c>
      <c r="C188" s="130">
        <v>270.18272000000002</v>
      </c>
      <c r="D188" s="221">
        <f t="shared" si="12"/>
        <v>1.0557064151356253E-3</v>
      </c>
      <c r="E188" s="128"/>
      <c r="F188" s="119"/>
      <c r="G188" s="120"/>
      <c r="H188" s="126"/>
      <c r="I188" s="127"/>
      <c r="J188" s="127"/>
      <c r="K188" s="123"/>
      <c r="L188" s="124">
        <f t="shared" si="10"/>
        <v>0</v>
      </c>
      <c r="M188" s="125">
        <f t="shared" si="9"/>
        <v>1.0557064151356253E-3</v>
      </c>
    </row>
    <row r="189" spans="1:18" x14ac:dyDescent="0.25">
      <c r="A189" s="215" t="s">
        <v>286</v>
      </c>
      <c r="B189" s="222">
        <v>77885.2</v>
      </c>
      <c r="C189" s="130">
        <v>2331.7700759999998</v>
      </c>
      <c r="D189" s="221">
        <f t="shared" si="12"/>
        <v>2.9938551560501864E-2</v>
      </c>
      <c r="E189" s="128"/>
      <c r="F189" s="119"/>
      <c r="G189" s="120"/>
      <c r="H189" s="126"/>
      <c r="I189" s="127"/>
      <c r="J189" s="127"/>
      <c r="K189" s="123"/>
      <c r="L189" s="124">
        <f t="shared" si="10"/>
        <v>0</v>
      </c>
      <c r="M189" s="125">
        <f t="shared" si="9"/>
        <v>2.9938551560501864E-2</v>
      </c>
    </row>
    <row r="190" spans="1:18" x14ac:dyDescent="0.25">
      <c r="A190" s="215" t="s">
        <v>287</v>
      </c>
      <c r="B190" s="222">
        <v>154242.20000000001</v>
      </c>
      <c r="C190" s="130">
        <v>149.82028299999999</v>
      </c>
      <c r="D190" s="221">
        <f t="shared" si="12"/>
        <v>9.7133134122827586E-4</v>
      </c>
      <c r="E190" s="128"/>
      <c r="F190" s="119"/>
      <c r="G190" s="120"/>
      <c r="H190" s="126"/>
      <c r="I190" s="127"/>
      <c r="J190" s="127"/>
      <c r="K190" s="123"/>
      <c r="L190" s="124">
        <f t="shared" si="10"/>
        <v>0</v>
      </c>
      <c r="M190" s="125">
        <f t="shared" si="9"/>
        <v>9.7133134122827586E-4</v>
      </c>
    </row>
    <row r="191" spans="1:18" x14ac:dyDescent="0.25">
      <c r="A191" s="215" t="s">
        <v>153</v>
      </c>
      <c r="B191" s="222">
        <v>731900</v>
      </c>
      <c r="C191" s="118">
        <v>62.087747999999998</v>
      </c>
      <c r="D191" s="221">
        <f t="shared" si="12"/>
        <v>8.4830916791911457E-5</v>
      </c>
      <c r="E191" s="128"/>
      <c r="F191" s="119"/>
      <c r="G191" s="120"/>
      <c r="H191" s="121"/>
      <c r="I191" s="122">
        <v>12</v>
      </c>
      <c r="J191" s="122">
        <f>0.1*B191-C191-I191</f>
        <v>73115.912251999995</v>
      </c>
      <c r="K191" s="123"/>
      <c r="L191" s="124">
        <f t="shared" si="10"/>
        <v>73127.912251999995</v>
      </c>
      <c r="M191" s="125">
        <f t="shared" si="9"/>
        <v>0.1</v>
      </c>
    </row>
    <row r="192" spans="1:18" x14ac:dyDescent="0.25">
      <c r="A192" s="215" t="s">
        <v>114</v>
      </c>
      <c r="B192" s="222">
        <v>134873.20000000001</v>
      </c>
      <c r="C192" s="118">
        <v>4606.1228440000004</v>
      </c>
      <c r="D192" s="221">
        <f t="shared" si="12"/>
        <v>3.4151505591918929E-2</v>
      </c>
      <c r="E192" s="128"/>
      <c r="G192" s="120"/>
      <c r="H192" s="121"/>
      <c r="K192" s="120"/>
      <c r="L192" s="124">
        <f t="shared" si="10"/>
        <v>0</v>
      </c>
      <c r="M192" s="125">
        <f t="shared" si="9"/>
        <v>3.4151505591918929E-2</v>
      </c>
    </row>
    <row r="193" spans="1:13" x14ac:dyDescent="0.25">
      <c r="A193" s="215" t="s">
        <v>19</v>
      </c>
      <c r="B193" s="222">
        <v>54711</v>
      </c>
      <c r="C193" s="220">
        <v>6167</v>
      </c>
      <c r="D193" s="221">
        <f t="shared" si="12"/>
        <v>0.11271956279358812</v>
      </c>
      <c r="E193" s="128">
        <v>0.14000000000000001</v>
      </c>
      <c r="F193" s="158" t="s">
        <v>359</v>
      </c>
      <c r="G193" s="120"/>
      <c r="H193" s="144">
        <f>0.14*B193-C193</f>
        <v>1492.5400000000009</v>
      </c>
      <c r="K193" s="123"/>
      <c r="L193" s="124">
        <f t="shared" si="10"/>
        <v>1492.5400000000009</v>
      </c>
      <c r="M193" s="125">
        <f t="shared" si="9"/>
        <v>0.14000000000000001</v>
      </c>
    </row>
    <row r="194" spans="1:13" x14ac:dyDescent="0.25">
      <c r="A194" s="215" t="s">
        <v>288</v>
      </c>
      <c r="B194" s="222">
        <v>723404.7</v>
      </c>
      <c r="C194" s="220">
        <v>208898</v>
      </c>
      <c r="D194" s="221">
        <f t="shared" si="12"/>
        <v>0.28877058719690379</v>
      </c>
      <c r="E194" s="128"/>
      <c r="F194" s="119"/>
      <c r="G194" s="120"/>
      <c r="H194" s="126"/>
      <c r="I194" s="127"/>
      <c r="J194" s="127"/>
      <c r="K194" s="123"/>
      <c r="L194" s="124">
        <f t="shared" si="10"/>
        <v>0</v>
      </c>
      <c r="M194" s="125">
        <f t="shared" ref="M194:M205" si="13">(L194+C194)/B194</f>
        <v>0.28877058719690379</v>
      </c>
    </row>
    <row r="195" spans="1:13" x14ac:dyDescent="0.25">
      <c r="A195" s="215" t="s">
        <v>58</v>
      </c>
      <c r="B195" s="222">
        <v>243129.60000000001</v>
      </c>
      <c r="C195" s="220">
        <v>7329</v>
      </c>
      <c r="D195" s="221">
        <f t="shared" si="12"/>
        <v>3.0144416804864564E-2</v>
      </c>
      <c r="E195" s="128">
        <v>0.1</v>
      </c>
      <c r="F195" s="132">
        <f>IF(E195&gt;D195, E195*B195-C195, 0)</f>
        <v>16983.960000000003</v>
      </c>
      <c r="G195" s="120">
        <f>IF(F195&gt;SUM(H195:K195), F195-SUM(H195:K195), 0)</f>
        <v>16983.960000000003</v>
      </c>
      <c r="H195" s="126"/>
      <c r="I195" s="127"/>
      <c r="J195" s="127"/>
      <c r="K195" s="120"/>
      <c r="L195" s="124">
        <f t="shared" ref="L195:L205" si="14">SUM(G195:K195)</f>
        <v>16983.960000000003</v>
      </c>
      <c r="M195" s="125">
        <f t="shared" si="13"/>
        <v>0.1</v>
      </c>
    </row>
    <row r="196" spans="1:13" x14ac:dyDescent="0.25">
      <c r="A196" s="215" t="s">
        <v>289</v>
      </c>
      <c r="B196" s="222">
        <v>1964384.5</v>
      </c>
      <c r="C196" s="220">
        <v>1278903</v>
      </c>
      <c r="D196" s="221">
        <f t="shared" si="12"/>
        <v>0.65104514925667556</v>
      </c>
      <c r="E196" s="128"/>
      <c r="F196" s="131"/>
      <c r="G196" s="120"/>
      <c r="H196" s="126"/>
      <c r="I196" s="127"/>
      <c r="J196" s="127"/>
      <c r="K196" s="123"/>
      <c r="L196" s="124">
        <f t="shared" si="14"/>
        <v>0</v>
      </c>
      <c r="M196" s="125">
        <f t="shared" si="13"/>
        <v>0.65104514925667556</v>
      </c>
    </row>
    <row r="197" spans="1:13" x14ac:dyDescent="0.25">
      <c r="A197" s="215" t="s">
        <v>290</v>
      </c>
      <c r="B197" s="222">
        <v>8591493.0999999996</v>
      </c>
      <c r="C197" s="220">
        <v>3624501</v>
      </c>
      <c r="D197" s="221">
        <f t="shared" si="12"/>
        <v>0.42187090856186571</v>
      </c>
      <c r="E197" s="128"/>
      <c r="F197" s="131"/>
      <c r="G197" s="120"/>
      <c r="H197" s="126"/>
      <c r="I197" s="127"/>
      <c r="J197" s="127"/>
      <c r="K197" s="123"/>
      <c r="L197" s="124">
        <f t="shared" si="14"/>
        <v>0</v>
      </c>
      <c r="M197" s="125">
        <f t="shared" si="13"/>
        <v>0.42187090856186571</v>
      </c>
    </row>
    <row r="198" spans="1:13" x14ac:dyDescent="0.25">
      <c r="A198" s="215" t="s">
        <v>291</v>
      </c>
      <c r="B198" s="222">
        <v>36030.300000000003</v>
      </c>
      <c r="C198" s="130">
        <v>306.27874800000001</v>
      </c>
      <c r="D198" s="221">
        <f t="shared" si="12"/>
        <v>8.5005883381487242E-3</v>
      </c>
      <c r="E198" s="128"/>
      <c r="F198" s="119"/>
      <c r="G198" s="120"/>
      <c r="H198" s="126"/>
      <c r="I198" s="127"/>
      <c r="J198" s="127"/>
      <c r="K198" s="120">
        <f>B198*0.2-C198-G198-H198-I198-J198</f>
        <v>6899.7812520000016</v>
      </c>
      <c r="L198" s="124">
        <f t="shared" si="14"/>
        <v>6899.7812520000016</v>
      </c>
      <c r="M198" s="125">
        <f t="shared" si="13"/>
        <v>0.2</v>
      </c>
    </row>
    <row r="199" spans="1:13" x14ac:dyDescent="0.25">
      <c r="A199" s="215" t="s">
        <v>116</v>
      </c>
      <c r="B199" s="222">
        <v>130098</v>
      </c>
      <c r="C199" s="118">
        <v>931.55340899999999</v>
      </c>
      <c r="D199" s="221">
        <f t="shared" si="12"/>
        <v>7.1603976156435914E-3</v>
      </c>
      <c r="E199" s="128">
        <v>0.02</v>
      </c>
      <c r="F199" s="132">
        <f>IF(E199&gt;D199, E199*B199-C199, 0)</f>
        <v>1670.4065909999999</v>
      </c>
      <c r="G199" s="120">
        <f>IF(F199&gt;SUM(H199:K199), F199-SUM(H199:K199), 0)</f>
        <v>0</v>
      </c>
      <c r="H199" s="144">
        <f>0.02*B199-C199</f>
        <v>1670.4065909999999</v>
      </c>
      <c r="K199" s="120"/>
      <c r="L199" s="124">
        <f t="shared" si="14"/>
        <v>1670.4065909999999</v>
      </c>
      <c r="M199" s="125">
        <f t="shared" si="13"/>
        <v>0.02</v>
      </c>
    </row>
    <row r="200" spans="1:13" x14ac:dyDescent="0.25">
      <c r="A200" s="215" t="s">
        <v>154</v>
      </c>
      <c r="B200" s="222">
        <v>622073.19999999995</v>
      </c>
      <c r="C200" s="118">
        <v>47.509867999999997</v>
      </c>
      <c r="D200" s="221">
        <f t="shared" si="12"/>
        <v>7.6373436438026908E-5</v>
      </c>
      <c r="E200" s="128">
        <v>0.1</v>
      </c>
      <c r="F200" s="158" t="s">
        <v>358</v>
      </c>
      <c r="G200" s="120"/>
      <c r="H200" s="121"/>
      <c r="I200" s="122">
        <v>50200</v>
      </c>
      <c r="K200" s="123"/>
      <c r="L200" s="124">
        <f t="shared" si="14"/>
        <v>50200</v>
      </c>
      <c r="M200" s="125">
        <f t="shared" si="13"/>
        <v>8.0774272011718246E-2</v>
      </c>
    </row>
    <row r="201" spans="1:13" x14ac:dyDescent="0.25">
      <c r="A201" s="215" t="s">
        <v>292</v>
      </c>
      <c r="B201" s="222">
        <v>473325.1</v>
      </c>
      <c r="C201" s="130">
        <v>16499.94341</v>
      </c>
      <c r="D201" s="221">
        <f t="shared" si="12"/>
        <v>3.485964173461327E-2</v>
      </c>
      <c r="E201" s="128"/>
      <c r="F201" s="119"/>
      <c r="G201" s="120"/>
      <c r="H201" s="126"/>
      <c r="I201" s="127"/>
      <c r="J201" s="127"/>
      <c r="K201" s="123"/>
      <c r="L201" s="124">
        <f t="shared" si="14"/>
        <v>0</v>
      </c>
      <c r="M201" s="125">
        <f t="shared" si="13"/>
        <v>3.485964173461327E-2</v>
      </c>
    </row>
    <row r="202" spans="1:13" x14ac:dyDescent="0.25">
      <c r="A202" s="215" t="s">
        <v>118</v>
      </c>
      <c r="B202" s="222">
        <v>647232.19999999995</v>
      </c>
      <c r="C202" s="118">
        <v>3630.2649719999999</v>
      </c>
      <c r="D202" s="221">
        <f t="shared" si="12"/>
        <v>5.6089066211477117E-3</v>
      </c>
      <c r="E202" s="189">
        <v>2.3999999999999998E-3</v>
      </c>
      <c r="F202" s="132">
        <f>IF(E202&gt;D202, E202*B202-C202, 0)</f>
        <v>0</v>
      </c>
      <c r="G202" s="120">
        <f>IF(F202&gt;SUM(H202:K202), F202-SUM(H202:K202), 0)</f>
        <v>0</v>
      </c>
      <c r="H202" s="121"/>
      <c r="I202" s="282">
        <v>1000</v>
      </c>
      <c r="K202" s="120"/>
      <c r="L202" s="124">
        <f t="shared" si="14"/>
        <v>1000</v>
      </c>
      <c r="M202" s="125">
        <f t="shared" si="13"/>
        <v>7.1539471800074229E-3</v>
      </c>
    </row>
    <row r="203" spans="1:13" x14ac:dyDescent="0.25">
      <c r="A203" s="215" t="s">
        <v>293</v>
      </c>
      <c r="B203" s="222">
        <v>259805</v>
      </c>
      <c r="C203" s="130">
        <v>0</v>
      </c>
      <c r="D203" s="221">
        <f t="shared" si="12"/>
        <v>0</v>
      </c>
      <c r="E203" s="128"/>
      <c r="F203" s="131"/>
      <c r="G203" s="120"/>
      <c r="H203" s="126"/>
      <c r="I203" s="127"/>
      <c r="J203" s="127"/>
      <c r="K203" s="123"/>
      <c r="L203" s="124">
        <f t="shared" si="14"/>
        <v>0</v>
      </c>
      <c r="M203" s="125">
        <f t="shared" si="13"/>
        <v>0</v>
      </c>
    </row>
    <row r="204" spans="1:13" x14ac:dyDescent="0.25">
      <c r="A204" s="215" t="s">
        <v>294</v>
      </c>
      <c r="B204" s="222">
        <v>252024.3</v>
      </c>
      <c r="C204" s="118">
        <v>3709.9873830000001</v>
      </c>
      <c r="D204" s="221">
        <f t="shared" si="12"/>
        <v>1.4720752653613165E-2</v>
      </c>
      <c r="E204" s="128"/>
      <c r="F204" s="119"/>
      <c r="G204" s="120"/>
      <c r="H204" s="121"/>
      <c r="K204" s="123"/>
      <c r="L204" s="124">
        <f t="shared" si="14"/>
        <v>0</v>
      </c>
      <c r="M204" s="125">
        <f t="shared" si="13"/>
        <v>1.4720752653613165E-2</v>
      </c>
    </row>
    <row r="205" spans="1:13" ht="15.75" thickBot="1" x14ac:dyDescent="0.3">
      <c r="A205" s="216" t="s">
        <v>295</v>
      </c>
      <c r="B205" s="226">
        <v>548014</v>
      </c>
      <c r="C205" s="227">
        <v>2562.3682410000001</v>
      </c>
      <c r="D205" s="228">
        <f t="shared" si="12"/>
        <v>4.6757350012955872E-3</v>
      </c>
      <c r="E205" s="236">
        <v>0.06</v>
      </c>
      <c r="F205" s="237">
        <f>IF(E205&gt;D205, E205*B205-C205, 0)</f>
        <v>30318.471758999996</v>
      </c>
      <c r="G205" s="238">
        <f>IF(F205&gt;SUM(H205:K205), F205-SUM(H205:K205), 0)</f>
        <v>30318.471758999996</v>
      </c>
      <c r="H205" s="243"/>
      <c r="I205" s="244"/>
      <c r="J205" s="244"/>
      <c r="K205" s="245"/>
      <c r="L205" s="246">
        <f t="shared" si="14"/>
        <v>30318.471758999996</v>
      </c>
      <c r="M205" s="247">
        <f t="shared" si="13"/>
        <v>5.9999999999999991E-2</v>
      </c>
    </row>
    <row r="206" spans="1:13" x14ac:dyDescent="0.25">
      <c r="B206" s="135"/>
      <c r="F206" s="119"/>
      <c r="K206" s="134"/>
      <c r="M206" s="136"/>
    </row>
    <row r="207" spans="1:13" x14ac:dyDescent="0.25">
      <c r="B207" s="135"/>
    </row>
    <row r="209" spans="1:12" x14ac:dyDescent="0.25">
      <c r="L209"/>
    </row>
    <row r="210" spans="1:12" x14ac:dyDescent="0.25">
      <c r="L210"/>
    </row>
    <row r="211" spans="1:12" x14ac:dyDescent="0.25">
      <c r="L211"/>
    </row>
    <row r="212" spans="1:12" x14ac:dyDescent="0.25">
      <c r="L212"/>
    </row>
    <row r="213" spans="1:12" x14ac:dyDescent="0.25">
      <c r="L213"/>
    </row>
    <row r="215" spans="1:12" x14ac:dyDescent="0.25">
      <c r="A215" s="111"/>
    </row>
  </sheetData>
  <autoFilter ref="A1:AM205">
    <sortState ref="A2:BD205">
      <sortCondition ref="A1"/>
    </sortState>
  </autoFilter>
  <pageMargins left="0.7" right="0.7" top="0.75" bottom="0.75" header="0.3" footer="0.3"/>
  <pageSetup scale="57"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Summary</vt:lpstr>
      <vt:lpstr>GEF projects</vt:lpstr>
      <vt:lpstr>Priority Actions</vt:lpstr>
      <vt:lpstr>Ocean Conf commitments</vt:lpstr>
      <vt:lpstr>NBSAPs</vt:lpstr>
      <vt:lpstr>Other commitments</vt:lpstr>
      <vt:lpstr>New Allcountry</vt:lpstr>
    </vt:vector>
  </TitlesOfParts>
  <Company>SCBD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scbd</cp:lastModifiedBy>
  <cp:lastPrinted>2019-03-12T14:31:32Z</cp:lastPrinted>
  <dcterms:created xsi:type="dcterms:W3CDTF">2017-05-29T17:22:28Z</dcterms:created>
  <dcterms:modified xsi:type="dcterms:W3CDTF">2019-03-29T14:44:21Z</dcterms:modified>
</cp:coreProperties>
</file>