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25" tabRatio="713" activeTab="1"/>
  </bookViews>
  <sheets>
    <sheet name="Notes" sheetId="7" r:id="rId1"/>
    <sheet name="Summary" sheetId="4" r:id="rId2"/>
    <sheet name="Priority Actions" sheetId="1" r:id="rId3"/>
    <sheet name="GEF projects" sheetId="2" r:id="rId4"/>
    <sheet name="NBSAPs" sheetId="5" r:id="rId5"/>
    <sheet name="newAllCountry" sheetId="9" r:id="rId6"/>
  </sheets>
  <externalReferences>
    <externalReference r:id="rId7"/>
  </externalReferences>
  <definedNames>
    <definedName name="_xlnm._FilterDatabase" localSheetId="3" hidden="1">'GEF projects'!$A$1:$N$76</definedName>
    <definedName name="_xlnm._FilterDatabase" localSheetId="4" hidden="1">NBSAPs!$A$1:$E$82</definedName>
    <definedName name="_xlnm._FilterDatabase" localSheetId="5" hidden="1">newAllCountry!$A$1:$K$247</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70" i="2" l="1"/>
  <c r="B53" i="2" l="1"/>
  <c r="B41" i="2" l="1"/>
  <c r="B8" i="2" l="1"/>
  <c r="B30" i="2" l="1"/>
  <c r="B9" i="2" l="1"/>
  <c r="B10" i="2"/>
  <c r="I51" i="9" l="1"/>
  <c r="B12" i="2" l="1"/>
  <c r="G32" i="9" l="1"/>
  <c r="H140" i="9" l="1"/>
  <c r="C23" i="1" s="1"/>
  <c r="H38" i="9"/>
  <c r="C5" i="1" s="1"/>
  <c r="H11" i="9"/>
  <c r="B13" i="2" l="1"/>
  <c r="H63" i="9"/>
  <c r="I52" i="9" l="1"/>
  <c r="C32" i="1"/>
  <c r="J3" i="9" l="1"/>
  <c r="K3" i="9" s="1"/>
  <c r="J5" i="9"/>
  <c r="J6" i="9"/>
  <c r="K6" i="9" s="1"/>
  <c r="J7" i="9"/>
  <c r="K7" i="9" s="1"/>
  <c r="J8" i="9"/>
  <c r="K8" i="9" s="1"/>
  <c r="J9" i="9"/>
  <c r="K9" i="9" s="1"/>
  <c r="J12" i="9"/>
  <c r="K12" i="9" s="1"/>
  <c r="J13" i="9"/>
  <c r="K13" i="9" s="1"/>
  <c r="J14" i="9"/>
  <c r="K14" i="9" s="1"/>
  <c r="J15" i="9"/>
  <c r="K15" i="9" s="1"/>
  <c r="J17" i="9"/>
  <c r="K17" i="9" s="1"/>
  <c r="J18" i="9"/>
  <c r="K18" i="9" s="1"/>
  <c r="J19" i="9"/>
  <c r="J20" i="9"/>
  <c r="K20" i="9" s="1"/>
  <c r="J23" i="9"/>
  <c r="K23" i="9" s="1"/>
  <c r="J25" i="9"/>
  <c r="K25" i="9" s="1"/>
  <c r="J26" i="9"/>
  <c r="K26" i="9" s="1"/>
  <c r="J27" i="9"/>
  <c r="K27" i="9" s="1"/>
  <c r="J28" i="9"/>
  <c r="K28" i="9" s="1"/>
  <c r="J29" i="9"/>
  <c r="K29" i="9" s="1"/>
  <c r="J30" i="9"/>
  <c r="J31" i="9"/>
  <c r="K31" i="9" s="1"/>
  <c r="J33" i="9"/>
  <c r="K33" i="9" s="1"/>
  <c r="J34" i="9"/>
  <c r="K34" i="9" s="1"/>
  <c r="J35" i="9"/>
  <c r="K35" i="9" s="1"/>
  <c r="J36" i="9"/>
  <c r="K36" i="9" s="1"/>
  <c r="J37" i="9"/>
  <c r="K37" i="9" s="1"/>
  <c r="J39" i="9"/>
  <c r="J40" i="9"/>
  <c r="K40" i="9" s="1"/>
  <c r="J43" i="9"/>
  <c r="K43" i="9" s="1"/>
  <c r="J44" i="9"/>
  <c r="K44" i="9" s="1"/>
  <c r="J45" i="9"/>
  <c r="K45" i="9" s="1"/>
  <c r="J48" i="9"/>
  <c r="K48" i="9" s="1"/>
  <c r="J49" i="9"/>
  <c r="K49" i="9" s="1"/>
  <c r="J50" i="9"/>
  <c r="K50" i="9" s="1"/>
  <c r="J52" i="9"/>
  <c r="J54" i="9"/>
  <c r="K54" i="9" s="1"/>
  <c r="J56" i="9"/>
  <c r="K56" i="9" s="1"/>
  <c r="J57" i="9"/>
  <c r="K57" i="9" s="1"/>
  <c r="J59" i="9"/>
  <c r="K59" i="9" s="1"/>
  <c r="J60" i="9"/>
  <c r="K60" i="9" s="1"/>
  <c r="J61" i="9"/>
  <c r="K61" i="9" s="1"/>
  <c r="J64" i="9"/>
  <c r="K64" i="9" s="1"/>
  <c r="J65" i="9"/>
  <c r="K65" i="9" s="1"/>
  <c r="J67" i="9"/>
  <c r="K67" i="9" s="1"/>
  <c r="J68" i="9"/>
  <c r="K68" i="9" s="1"/>
  <c r="J69" i="9"/>
  <c r="J70" i="9"/>
  <c r="K70" i="9" s="1"/>
  <c r="J71" i="9"/>
  <c r="K71" i="9" s="1"/>
  <c r="J73" i="9"/>
  <c r="K73" i="9" s="1"/>
  <c r="J76" i="9"/>
  <c r="K76" i="9" s="1"/>
  <c r="J77" i="9"/>
  <c r="K77" i="9" s="1"/>
  <c r="J78" i="9"/>
  <c r="K78" i="9" s="1"/>
  <c r="J80" i="9"/>
  <c r="K80" i="9" s="1"/>
  <c r="J81" i="9"/>
  <c r="K81" i="9" s="1"/>
  <c r="J82" i="9"/>
  <c r="K82" i="9" s="1"/>
  <c r="J83" i="9"/>
  <c r="K83" i="9" s="1"/>
  <c r="J84" i="9"/>
  <c r="K84" i="9" s="1"/>
  <c r="J87" i="9"/>
  <c r="K87" i="9" s="1"/>
  <c r="J88" i="9"/>
  <c r="J89" i="9"/>
  <c r="K89" i="9" s="1"/>
  <c r="J90" i="9"/>
  <c r="K90" i="9" s="1"/>
  <c r="J91" i="9"/>
  <c r="K91" i="9" s="1"/>
  <c r="J92" i="9"/>
  <c r="K92" i="9" s="1"/>
  <c r="J93" i="9"/>
  <c r="K93" i="9" s="1"/>
  <c r="J94" i="9"/>
  <c r="K94" i="9" s="1"/>
  <c r="J95" i="9"/>
  <c r="J96" i="9"/>
  <c r="K96" i="9" s="1"/>
  <c r="J98" i="9"/>
  <c r="K98" i="9" s="1"/>
  <c r="J100" i="9"/>
  <c r="K100" i="9" s="1"/>
  <c r="J101" i="9"/>
  <c r="K101" i="9" s="1"/>
  <c r="J102" i="9"/>
  <c r="K102" i="9" s="1"/>
  <c r="J103" i="9"/>
  <c r="K103" i="9" s="1"/>
  <c r="J104" i="9"/>
  <c r="K104" i="9" s="1"/>
  <c r="J106" i="9"/>
  <c r="K106" i="9" s="1"/>
  <c r="J107" i="9"/>
  <c r="J108" i="9"/>
  <c r="K108" i="9" s="1"/>
  <c r="J109" i="9"/>
  <c r="K109" i="9" s="1"/>
  <c r="J110" i="9"/>
  <c r="K110" i="9" s="1"/>
  <c r="J111" i="9"/>
  <c r="K111" i="9" s="1"/>
  <c r="J112" i="9"/>
  <c r="K112" i="9" s="1"/>
  <c r="J115" i="9"/>
  <c r="K115" i="9" s="1"/>
  <c r="J117" i="9"/>
  <c r="K117" i="9" s="1"/>
  <c r="J118" i="9"/>
  <c r="K118" i="9" s="1"/>
  <c r="J119" i="9"/>
  <c r="K119" i="9" s="1"/>
  <c r="J120" i="9"/>
  <c r="K120" i="9" s="1"/>
  <c r="J121" i="9"/>
  <c r="J122" i="9"/>
  <c r="K122" i="9" s="1"/>
  <c r="J123" i="9"/>
  <c r="K123" i="9" s="1"/>
  <c r="J125" i="9"/>
  <c r="K125" i="9" s="1"/>
  <c r="J127" i="9"/>
  <c r="K127" i="9" s="1"/>
  <c r="J128" i="9"/>
  <c r="K128" i="9" s="1"/>
  <c r="J129" i="9"/>
  <c r="K129" i="9" s="1"/>
  <c r="J130" i="9"/>
  <c r="K130" i="9" s="1"/>
  <c r="J131" i="9"/>
  <c r="J132" i="9"/>
  <c r="K132" i="9" s="1"/>
  <c r="J133" i="9"/>
  <c r="J134" i="9"/>
  <c r="K134" i="9" s="1"/>
  <c r="J137" i="9"/>
  <c r="K137" i="9" s="1"/>
  <c r="J138" i="9"/>
  <c r="K138" i="9" s="1"/>
  <c r="J139" i="9"/>
  <c r="K139" i="9" s="1"/>
  <c r="J140" i="9"/>
  <c r="J141" i="9"/>
  <c r="K141" i="9" s="1"/>
  <c r="J143" i="9"/>
  <c r="K143" i="9" s="1"/>
  <c r="J144" i="9"/>
  <c r="K144" i="9" s="1"/>
  <c r="J147" i="9"/>
  <c r="K147" i="9" s="1"/>
  <c r="J149" i="9"/>
  <c r="K149" i="9" s="1"/>
  <c r="J151" i="9"/>
  <c r="K151" i="9" s="1"/>
  <c r="J152" i="9"/>
  <c r="J153" i="9"/>
  <c r="K153" i="9" s="1"/>
  <c r="J154" i="9"/>
  <c r="K154" i="9" s="1"/>
  <c r="J155" i="9"/>
  <c r="K155" i="9" s="1"/>
  <c r="J156" i="9"/>
  <c r="K156" i="9" s="1"/>
  <c r="J157" i="9"/>
  <c r="K157" i="9" s="1"/>
  <c r="J158" i="9"/>
  <c r="K158" i="9" s="1"/>
  <c r="J159" i="9"/>
  <c r="K159" i="9" s="1"/>
  <c r="J161" i="9"/>
  <c r="K161" i="9" s="1"/>
  <c r="J162" i="9"/>
  <c r="K162" i="9" s="1"/>
  <c r="J163" i="9"/>
  <c r="K163" i="9" s="1"/>
  <c r="J164" i="9"/>
  <c r="K164" i="9" s="1"/>
  <c r="J167" i="9"/>
  <c r="K167" i="9" s="1"/>
  <c r="J168" i="9"/>
  <c r="K168" i="9" s="1"/>
  <c r="J171" i="9"/>
  <c r="K171" i="9" s="1"/>
  <c r="J172" i="9"/>
  <c r="K172" i="9" s="1"/>
  <c r="J173" i="9"/>
  <c r="K173" i="9" s="1"/>
  <c r="J174" i="9"/>
  <c r="K174" i="9" s="1"/>
  <c r="J175" i="9"/>
  <c r="K175" i="9" s="1"/>
  <c r="J176" i="9"/>
  <c r="K176" i="9" s="1"/>
  <c r="J180" i="9"/>
  <c r="K180" i="9" s="1"/>
  <c r="J181" i="9"/>
  <c r="K181" i="9" s="1"/>
  <c r="J184" i="9"/>
  <c r="K184" i="9" s="1"/>
  <c r="J185" i="9"/>
  <c r="K185" i="9" s="1"/>
  <c r="J186" i="9"/>
  <c r="K186" i="9" s="1"/>
  <c r="J187" i="9"/>
  <c r="K187" i="9" s="1"/>
  <c r="J188" i="9"/>
  <c r="K188" i="9" s="1"/>
  <c r="J189" i="9"/>
  <c r="K189" i="9" s="1"/>
  <c r="J192" i="9"/>
  <c r="K192" i="9" s="1"/>
  <c r="J193" i="9"/>
  <c r="K193" i="9" s="1"/>
  <c r="J194" i="9"/>
  <c r="K194" i="9" s="1"/>
  <c r="J195" i="9"/>
  <c r="K195" i="9" s="1"/>
  <c r="J196" i="9"/>
  <c r="K196" i="9" s="1"/>
  <c r="J198" i="9"/>
  <c r="K198" i="9" s="1"/>
  <c r="J199" i="9"/>
  <c r="K199" i="9" s="1"/>
  <c r="J200" i="9"/>
  <c r="K200" i="9" s="1"/>
  <c r="J201" i="9"/>
  <c r="K201" i="9" s="1"/>
  <c r="J202" i="9"/>
  <c r="K202" i="9" s="1"/>
  <c r="J204" i="9"/>
  <c r="J206" i="9"/>
  <c r="K206" i="9" s="1"/>
  <c r="J207" i="9"/>
  <c r="K207" i="9" s="1"/>
  <c r="J208" i="9"/>
  <c r="K208" i="9" s="1"/>
  <c r="J209" i="9"/>
  <c r="K209" i="9" s="1"/>
  <c r="J210" i="9"/>
  <c r="K210" i="9" s="1"/>
  <c r="J212" i="9"/>
  <c r="K212" i="9" s="1"/>
  <c r="J213" i="9"/>
  <c r="K213" i="9" s="1"/>
  <c r="J215" i="9"/>
  <c r="K215" i="9" s="1"/>
  <c r="J216" i="9"/>
  <c r="K216" i="9" s="1"/>
  <c r="J217" i="9"/>
  <c r="K217" i="9" s="1"/>
  <c r="J218" i="9"/>
  <c r="K218" i="9" s="1"/>
  <c r="J219" i="9"/>
  <c r="K219" i="9" s="1"/>
  <c r="J220" i="9"/>
  <c r="K220" i="9" s="1"/>
  <c r="J221" i="9"/>
  <c r="K221" i="9" s="1"/>
  <c r="J222" i="9"/>
  <c r="K222" i="9" s="1"/>
  <c r="J223" i="9"/>
  <c r="K223" i="9" s="1"/>
  <c r="J225" i="9"/>
  <c r="K225" i="9" s="1"/>
  <c r="J226" i="9"/>
  <c r="K226" i="9" s="1"/>
  <c r="J227" i="9"/>
  <c r="J228" i="9"/>
  <c r="K228" i="9" s="1"/>
  <c r="J229" i="9"/>
  <c r="K229" i="9" s="1"/>
  <c r="J232" i="9"/>
  <c r="J233" i="9"/>
  <c r="K233" i="9" s="1"/>
  <c r="J234" i="9"/>
  <c r="K234" i="9" s="1"/>
  <c r="J235" i="9"/>
  <c r="K235" i="9" s="1"/>
  <c r="J236" i="9"/>
  <c r="K236" i="9" s="1"/>
  <c r="J237" i="9"/>
  <c r="K237" i="9" s="1"/>
  <c r="J239" i="9"/>
  <c r="K239" i="9" s="1"/>
  <c r="J240" i="9"/>
  <c r="J241" i="9"/>
  <c r="K241" i="9" s="1"/>
  <c r="J243" i="9"/>
  <c r="K243" i="9" s="1"/>
  <c r="J244" i="9"/>
  <c r="K244" i="9" s="1"/>
  <c r="F230" i="9"/>
  <c r="F179" i="9"/>
  <c r="F214" i="9"/>
  <c r="F211" i="9"/>
  <c r="K131" i="9" l="1"/>
  <c r="K121" i="9"/>
  <c r="K69" i="9"/>
  <c r="K227" i="9"/>
  <c r="K140" i="9"/>
  <c r="K240" i="9"/>
  <c r="K19" i="9"/>
  <c r="K88" i="9"/>
  <c r="K39" i="9"/>
  <c r="K204" i="9"/>
  <c r="K95" i="9"/>
  <c r="K152" i="9"/>
  <c r="K30" i="9"/>
  <c r="K107" i="9"/>
  <c r="K52" i="9"/>
  <c r="K5" i="9"/>
  <c r="K232" i="9"/>
  <c r="K133" i="9"/>
  <c r="F205" i="9"/>
  <c r="F203" i="9"/>
  <c r="F197" i="9"/>
  <c r="F190" i="9" l="1"/>
  <c r="G190" i="9" s="1"/>
  <c r="J190" i="9" s="1"/>
  <c r="K190" i="9" s="1"/>
  <c r="F170" i="9" l="1"/>
  <c r="G170" i="9" s="1"/>
  <c r="B44" i="2"/>
  <c r="D60" i="5" l="1"/>
  <c r="J170" i="9"/>
  <c r="F116" i="9"/>
  <c r="F105" i="9"/>
  <c r="G105" i="9" s="1"/>
  <c r="J105" i="9" s="1"/>
  <c r="K105" i="9" s="1"/>
  <c r="K170" i="9" l="1"/>
  <c r="D31" i="5"/>
  <c r="F16" i="9" l="1"/>
  <c r="G160" i="9"/>
  <c r="J160" i="9" s="1"/>
  <c r="K160" i="9" s="1"/>
  <c r="G72" i="9"/>
  <c r="J72" i="9" s="1"/>
  <c r="K72" i="9" s="1"/>
  <c r="F247" i="9"/>
  <c r="G247" i="9" s="1"/>
  <c r="J247" i="9" s="1"/>
  <c r="K247" i="9" s="1"/>
  <c r="F245" i="9"/>
  <c r="G245" i="9" s="1"/>
  <c r="J245" i="9" s="1"/>
  <c r="F242" i="9"/>
  <c r="F238" i="9"/>
  <c r="G230" i="9"/>
  <c r="J230" i="9" s="1"/>
  <c r="K230" i="9" s="1"/>
  <c r="F224" i="9"/>
  <c r="G224" i="9" s="1"/>
  <c r="J224" i="9" s="1"/>
  <c r="K224" i="9" s="1"/>
  <c r="G179" i="9"/>
  <c r="J179" i="9" s="1"/>
  <c r="G214" i="9"/>
  <c r="J214" i="9" s="1"/>
  <c r="K214" i="9" s="1"/>
  <c r="G211" i="9"/>
  <c r="J211" i="9" s="1"/>
  <c r="K211" i="9" s="1"/>
  <c r="G205" i="9"/>
  <c r="J205" i="9" s="1"/>
  <c r="G203" i="9"/>
  <c r="J203" i="9" s="1"/>
  <c r="K203" i="9" s="1"/>
  <c r="G197" i="9"/>
  <c r="J197" i="9" s="1"/>
  <c r="K197" i="9" s="1"/>
  <c r="F191" i="9"/>
  <c r="G191" i="9" s="1"/>
  <c r="J191" i="9" s="1"/>
  <c r="K191" i="9" s="1"/>
  <c r="F183" i="9"/>
  <c r="G183" i="9" s="1"/>
  <c r="J183" i="9" s="1"/>
  <c r="K183" i="9" s="1"/>
  <c r="F182" i="9"/>
  <c r="G182" i="9" s="1"/>
  <c r="J182" i="9" s="1"/>
  <c r="K182" i="9" s="1"/>
  <c r="F178" i="9"/>
  <c r="F177" i="9"/>
  <c r="G177" i="9" s="1"/>
  <c r="J177" i="9" s="1"/>
  <c r="K177" i="9" s="1"/>
  <c r="F169" i="9"/>
  <c r="G169" i="9" s="1"/>
  <c r="J169" i="9" s="1"/>
  <c r="K169" i="9" s="1"/>
  <c r="F166" i="9"/>
  <c r="G166" i="9" s="1"/>
  <c r="J166" i="9" s="1"/>
  <c r="K166" i="9" s="1"/>
  <c r="F165" i="9"/>
  <c r="G165" i="9" s="1"/>
  <c r="J165" i="9" s="1"/>
  <c r="K165" i="9" s="1"/>
  <c r="F150" i="9"/>
  <c r="G150" i="9" s="1"/>
  <c r="J150" i="9" s="1"/>
  <c r="K150" i="9" s="1"/>
  <c r="F148" i="9"/>
  <c r="G148" i="9" s="1"/>
  <c r="J148" i="9" s="1"/>
  <c r="K148" i="9" s="1"/>
  <c r="F146" i="9"/>
  <c r="F142" i="9"/>
  <c r="F136" i="9"/>
  <c r="G136" i="9" s="1"/>
  <c r="J136" i="9" s="1"/>
  <c r="K136" i="9" s="1"/>
  <c r="F135" i="9"/>
  <c r="G135" i="9" s="1"/>
  <c r="J135" i="9" s="1"/>
  <c r="K135" i="9" s="1"/>
  <c r="F126" i="9"/>
  <c r="G116" i="9"/>
  <c r="J116" i="9" s="1"/>
  <c r="K116" i="9" s="1"/>
  <c r="F114" i="9"/>
  <c r="G114" i="9" s="1"/>
  <c r="J114" i="9" s="1"/>
  <c r="K114" i="9" s="1"/>
  <c r="F113" i="9"/>
  <c r="G113" i="9" s="1"/>
  <c r="J113" i="9" s="1"/>
  <c r="K113" i="9" s="1"/>
  <c r="F99" i="9"/>
  <c r="G99" i="9" s="1"/>
  <c r="J99" i="9" s="1"/>
  <c r="K99" i="9" s="1"/>
  <c r="G97" i="9"/>
  <c r="F86" i="9"/>
  <c r="G86" i="9" s="1"/>
  <c r="J86" i="9" s="1"/>
  <c r="K86" i="9" s="1"/>
  <c r="F85" i="9"/>
  <c r="G85" i="9" s="1"/>
  <c r="J85" i="9" s="1"/>
  <c r="K85" i="9" s="1"/>
  <c r="F79" i="9"/>
  <c r="G79" i="9" s="1"/>
  <c r="J79" i="9" s="1"/>
  <c r="K79" i="9" s="1"/>
  <c r="F75" i="9"/>
  <c r="G75" i="9" s="1"/>
  <c r="J75" i="9" s="1"/>
  <c r="K75" i="9" s="1"/>
  <c r="F66" i="9"/>
  <c r="G66" i="9" s="1"/>
  <c r="J66" i="9" s="1"/>
  <c r="K66" i="9" s="1"/>
  <c r="F63" i="9"/>
  <c r="F62" i="9"/>
  <c r="F58" i="9"/>
  <c r="G58" i="9" s="1"/>
  <c r="J58" i="9" s="1"/>
  <c r="K58" i="9" s="1"/>
  <c r="F53" i="9"/>
  <c r="G53" i="9" s="1"/>
  <c r="J53" i="9" s="1"/>
  <c r="K53" i="9" s="1"/>
  <c r="F47" i="9"/>
  <c r="G47" i="9" s="1"/>
  <c r="J47" i="9" s="1"/>
  <c r="K47" i="9" s="1"/>
  <c r="F42" i="9"/>
  <c r="G42" i="9" s="1"/>
  <c r="J42" i="9" s="1"/>
  <c r="K42" i="9" s="1"/>
  <c r="F41" i="9"/>
  <c r="G41" i="9" s="1"/>
  <c r="J41" i="9" s="1"/>
  <c r="K41" i="9" s="1"/>
  <c r="F38" i="9"/>
  <c r="G38" i="9" s="1"/>
  <c r="J38" i="9" s="1"/>
  <c r="K38" i="9" s="1"/>
  <c r="F24" i="9"/>
  <c r="G24" i="9" s="1"/>
  <c r="J24" i="9" s="1"/>
  <c r="K24" i="9" s="1"/>
  <c r="F22" i="9"/>
  <c r="G22" i="9" s="1"/>
  <c r="J22" i="9" s="1"/>
  <c r="K22" i="9" s="1"/>
  <c r="F21" i="9"/>
  <c r="F11" i="9"/>
  <c r="G11" i="9" s="1"/>
  <c r="J11" i="9" s="1"/>
  <c r="F10" i="9"/>
  <c r="G10" i="9" s="1"/>
  <c r="J10" i="9" s="1"/>
  <c r="K10" i="9" s="1"/>
  <c r="F4" i="9"/>
  <c r="G4" i="9" s="1"/>
  <c r="J4" i="9" s="1"/>
  <c r="K4" i="9" s="1"/>
  <c r="F2" i="9"/>
  <c r="G2" i="9" s="1"/>
  <c r="K11" i="9" l="1"/>
  <c r="C2" i="1"/>
  <c r="K245" i="9"/>
  <c r="K179" i="9"/>
  <c r="G16" i="9"/>
  <c r="J16" i="9" s="1"/>
  <c r="K16" i="9" s="1"/>
  <c r="D2" i="5"/>
  <c r="J2" i="9"/>
  <c r="K2" i="9" s="1"/>
  <c r="K205" i="9"/>
  <c r="D35" i="5"/>
  <c r="J97" i="9"/>
  <c r="K97" i="9" s="1"/>
  <c r="D73" i="5"/>
  <c r="G21" i="9"/>
  <c r="D37" i="5"/>
  <c r="D81" i="5"/>
  <c r="D25" i="5"/>
  <c r="D22" i="5"/>
  <c r="D47" i="5"/>
  <c r="D59" i="5"/>
  <c r="D68" i="5"/>
  <c r="D10" i="5"/>
  <c r="D36" i="5"/>
  <c r="D48" i="5"/>
  <c r="D61" i="5"/>
  <c r="D70" i="5"/>
  <c r="D16" i="5"/>
  <c r="D29" i="5"/>
  <c r="D40" i="5"/>
  <c r="D53" i="5"/>
  <c r="D64" i="5"/>
  <c r="D27" i="5"/>
  <c r="D3" i="5"/>
  <c r="D17" i="5"/>
  <c r="D30" i="5"/>
  <c r="D41" i="5"/>
  <c r="D54" i="5"/>
  <c r="D65" i="5"/>
  <c r="D74" i="5"/>
  <c r="D56" i="5"/>
  <c r="D11" i="5"/>
  <c r="D71" i="5"/>
  <c r="D14" i="5"/>
  <c r="D39" i="5"/>
  <c r="D63" i="5"/>
  <c r="D72" i="5"/>
  <c r="D82" i="5"/>
  <c r="D5" i="5"/>
  <c r="D18" i="5"/>
  <c r="D57" i="5"/>
  <c r="D66" i="5"/>
  <c r="D76" i="5"/>
  <c r="D6" i="5"/>
  <c r="D20" i="5"/>
  <c r="D32" i="5"/>
  <c r="D58" i="5"/>
  <c r="D67" i="5"/>
  <c r="D7" i="5" l="1"/>
  <c r="D9" i="5"/>
  <c r="J21" i="9"/>
  <c r="K21" i="9" s="1"/>
  <c r="H142" i="9" l="1"/>
  <c r="G142" i="9" l="1"/>
  <c r="D50" i="5" l="1"/>
  <c r="J142" i="9"/>
  <c r="K142" i="9" s="1"/>
  <c r="H246" i="9"/>
  <c r="J246" i="9" s="1"/>
  <c r="K246" i="9" s="1"/>
  <c r="H242" i="9"/>
  <c r="H238" i="9"/>
  <c r="H231" i="9"/>
  <c r="J231" i="9" s="1"/>
  <c r="K231" i="9" s="1"/>
  <c r="H74" i="9"/>
  <c r="J74" i="9" s="1"/>
  <c r="K74" i="9" l="1"/>
  <c r="G238" i="9"/>
  <c r="G242" i="9"/>
  <c r="C37" i="1"/>
  <c r="C38" i="1"/>
  <c r="C14" i="1"/>
  <c r="C34" i="1"/>
  <c r="H178" i="9"/>
  <c r="C31" i="1" s="1"/>
  <c r="H146" i="9"/>
  <c r="H145" i="9"/>
  <c r="J145" i="9" s="1"/>
  <c r="H126" i="9"/>
  <c r="H124" i="9"/>
  <c r="J124" i="9" s="1"/>
  <c r="H62" i="9"/>
  <c r="H55" i="9"/>
  <c r="C8" i="1"/>
  <c r="H51" i="9" s="1"/>
  <c r="J51" i="9" s="1"/>
  <c r="K51" i="9" s="1"/>
  <c r="C7" i="1"/>
  <c r="H46" i="9" s="1"/>
  <c r="J46" i="9" s="1"/>
  <c r="K46" i="9" s="1"/>
  <c r="K124" i="9" l="1"/>
  <c r="K145" i="9"/>
  <c r="D80" i="5"/>
  <c r="J242" i="9"/>
  <c r="K242" i="9" s="1"/>
  <c r="D78" i="5"/>
  <c r="J238" i="9"/>
  <c r="K238" i="9" s="1"/>
  <c r="G146" i="9"/>
  <c r="G178" i="9"/>
  <c r="G62" i="9"/>
  <c r="G63" i="9"/>
  <c r="G126" i="9"/>
  <c r="C9" i="1"/>
  <c r="C25" i="1"/>
  <c r="C26" i="1"/>
  <c r="C10" i="1"/>
  <c r="XFC10" i="1" s="1"/>
  <c r="C11" i="1"/>
  <c r="C19" i="1"/>
  <c r="C21" i="1"/>
  <c r="F32" i="9"/>
  <c r="J32" i="9" l="1"/>
  <c r="K32" i="9" s="1"/>
  <c r="D62" i="5"/>
  <c r="J178" i="9"/>
  <c r="K178" i="9" s="1"/>
  <c r="D52" i="5"/>
  <c r="J146" i="9"/>
  <c r="K146" i="9" s="1"/>
  <c r="D44" i="5"/>
  <c r="J126" i="9"/>
  <c r="K126" i="9" s="1"/>
  <c r="D24" i="5"/>
  <c r="J63" i="9"/>
  <c r="K63" i="9" s="1"/>
  <c r="D23" i="5"/>
  <c r="J62" i="9"/>
  <c r="K62" i="9" s="1"/>
  <c r="D13" i="5" l="1"/>
  <c r="F55" i="9"/>
  <c r="G55" i="9" l="1"/>
  <c r="J55" i="9" s="1"/>
  <c r="K55" i="9" s="1"/>
  <c r="D21" i="5"/>
  <c r="D84" i="5" s="1"/>
  <c r="C6" i="1" l="1"/>
  <c r="C3" i="1"/>
  <c r="B67" i="2" l="1"/>
  <c r="B39" i="2" l="1"/>
  <c r="B37" i="2"/>
  <c r="B11" i="2"/>
  <c r="C27" i="1" l="1"/>
  <c r="C20" i="1"/>
  <c r="C22" i="1" l="1"/>
  <c r="C40" i="1" s="1"/>
  <c r="B2" i="4" l="1"/>
  <c r="B3" i="4"/>
  <c r="C2" i="4" l="1"/>
  <c r="B4" i="4"/>
  <c r="C4" i="4" s="1"/>
  <c r="C3" i="4"/>
  <c r="B6" i="4" l="1"/>
  <c r="C6" i="4" s="1"/>
  <c r="C8" i="4" s="1"/>
</calcChain>
</file>

<file path=xl/sharedStrings.xml><?xml version="1.0" encoding="utf-8"?>
<sst xmlns="http://schemas.openxmlformats.org/spreadsheetml/2006/main" count="911" uniqueCount="540">
  <si>
    <t>Country or Area</t>
  </si>
  <si>
    <t>United Republic of Tanzania</t>
  </si>
  <si>
    <t>Mexico</t>
  </si>
  <si>
    <t>Canada</t>
  </si>
  <si>
    <t>South Africa</t>
  </si>
  <si>
    <t>Chad</t>
  </si>
  <si>
    <t>Iran (Islamic Republic of)</t>
  </si>
  <si>
    <t>Mozambique</t>
  </si>
  <si>
    <t>Guinea</t>
  </si>
  <si>
    <t>Congo</t>
  </si>
  <si>
    <t>Gabon</t>
  </si>
  <si>
    <t>Sudan</t>
  </si>
  <si>
    <t>Cuba</t>
  </si>
  <si>
    <t>Argentina</t>
  </si>
  <si>
    <t>Tunisia</t>
  </si>
  <si>
    <t>Republic of Korea</t>
  </si>
  <si>
    <t>Iraq</t>
  </si>
  <si>
    <t>Madagascar</t>
  </si>
  <si>
    <t>Colombia</t>
  </si>
  <si>
    <t>Zimbabwe</t>
  </si>
  <si>
    <t>Liberia</t>
  </si>
  <si>
    <t>Uruguay</t>
  </si>
  <si>
    <t>Kenya</t>
  </si>
  <si>
    <t>Belarus</t>
  </si>
  <si>
    <t>Chile</t>
  </si>
  <si>
    <t>Timor-Leste</t>
  </si>
  <si>
    <t>China</t>
  </si>
  <si>
    <t>Luxembourg</t>
  </si>
  <si>
    <t>Honduras</t>
  </si>
  <si>
    <t>State of Palestine</t>
  </si>
  <si>
    <t>United Kingdom of Great Britain and Northern Ireland</t>
  </si>
  <si>
    <t>Spain</t>
  </si>
  <si>
    <t>Myanmar</t>
  </si>
  <si>
    <t>Czechia</t>
  </si>
  <si>
    <t>Germany</t>
  </si>
  <si>
    <t>Nepal</t>
  </si>
  <si>
    <t>Romania</t>
  </si>
  <si>
    <t>Norway</t>
  </si>
  <si>
    <t>Burundi</t>
  </si>
  <si>
    <t>Guinea-Bissau</t>
  </si>
  <si>
    <t>Jordan</t>
  </si>
  <si>
    <t>Ukraine</t>
  </si>
  <si>
    <t>Rwanda</t>
  </si>
  <si>
    <t>Croatia</t>
  </si>
  <si>
    <t>Belize</t>
  </si>
  <si>
    <t>India</t>
  </si>
  <si>
    <t>Morocco</t>
  </si>
  <si>
    <t>Aruba</t>
  </si>
  <si>
    <t>Viet Nam</t>
  </si>
  <si>
    <t>Russian Federation</t>
  </si>
  <si>
    <t>Cyprus</t>
  </si>
  <si>
    <t>Lithuania</t>
  </si>
  <si>
    <t>Dominican Republic</t>
  </si>
  <si>
    <t>Philippines</t>
  </si>
  <si>
    <t>Namibia</t>
  </si>
  <si>
    <t>Isle of Man</t>
  </si>
  <si>
    <t>Belgium</t>
  </si>
  <si>
    <t>French Southern and Antarctic Territories</t>
  </si>
  <si>
    <t>Palau</t>
  </si>
  <si>
    <t>Serbia</t>
  </si>
  <si>
    <t>Thailand</t>
  </si>
  <si>
    <t>Cabo Verde</t>
  </si>
  <si>
    <t>Bhutan</t>
  </si>
  <si>
    <t>Saint Helena</t>
  </si>
  <si>
    <t>Pitcairn</t>
  </si>
  <si>
    <t>Jersey</t>
  </si>
  <si>
    <t>Malta</t>
  </si>
  <si>
    <t>Senegal</t>
  </si>
  <si>
    <t>Georgia</t>
  </si>
  <si>
    <t>Kiribati</t>
  </si>
  <si>
    <t>Greece</t>
  </si>
  <si>
    <t>British Virgin Islands</t>
  </si>
  <si>
    <t>American Samoa</t>
  </si>
  <si>
    <t>Cook Islands</t>
  </si>
  <si>
    <t>Mauritius</t>
  </si>
  <si>
    <t>Kyrgyzstan</t>
  </si>
  <si>
    <t>Fiji</t>
  </si>
  <si>
    <t>Dominica</t>
  </si>
  <si>
    <t>Réunion</t>
  </si>
  <si>
    <t>Libya</t>
  </si>
  <si>
    <t>Liechtenstein</t>
  </si>
  <si>
    <t>Bahrain</t>
  </si>
  <si>
    <t>Niger</t>
  </si>
  <si>
    <t>South Sudan</t>
  </si>
  <si>
    <t>Saint Barthélemy</t>
  </si>
  <si>
    <t>Sri Lanka</t>
  </si>
  <si>
    <t>Ecuador</t>
  </si>
  <si>
    <t>Monaco</t>
  </si>
  <si>
    <t>Somalia</t>
  </si>
  <si>
    <t>Malawi</t>
  </si>
  <si>
    <t>Algeria</t>
  </si>
  <si>
    <t>Syrian Arab Republic</t>
  </si>
  <si>
    <t>Christmas Island</t>
  </si>
  <si>
    <t>El Salvador</t>
  </si>
  <si>
    <t>Singapore</t>
  </si>
  <si>
    <t>Angola</t>
  </si>
  <si>
    <t>Yemen</t>
  </si>
  <si>
    <t>Marshall Islands</t>
  </si>
  <si>
    <t>Guyana</t>
  </si>
  <si>
    <t>Montserrat</t>
  </si>
  <si>
    <t>Montenegro</t>
  </si>
  <si>
    <t>Niue</t>
  </si>
  <si>
    <t>Barbados</t>
  </si>
  <si>
    <t>Andorra</t>
  </si>
  <si>
    <t>Democratic People's Republic of Korea</t>
  </si>
  <si>
    <t>Saint Lucia</t>
  </si>
  <si>
    <t>Uganda</t>
  </si>
  <si>
    <t>Republic of Moldova</t>
  </si>
  <si>
    <t>Norfolk Island</t>
  </si>
  <si>
    <t>Comoros</t>
  </si>
  <si>
    <t>Botswana</t>
  </si>
  <si>
    <t>Suriname</t>
  </si>
  <si>
    <t>South Georgia and the South Sandwich Islands</t>
  </si>
  <si>
    <t>Micronesia (Federated States of)</t>
  </si>
  <si>
    <t>Sierra Leone</t>
  </si>
  <si>
    <t>Bolivia (Plurinational State of)</t>
  </si>
  <si>
    <t>Bahamas</t>
  </si>
  <si>
    <t>Bangladesh</t>
  </si>
  <si>
    <t>Svalbard and Jan Mayen Islands</t>
  </si>
  <si>
    <t>Turks and Caicos Islands</t>
  </si>
  <si>
    <t>Benin</t>
  </si>
  <si>
    <t>Uzbekistan</t>
  </si>
  <si>
    <t>Brazil</t>
  </si>
  <si>
    <t>Malaysia</t>
  </si>
  <si>
    <t>China, Hong Kong Special Administrative Region</t>
  </si>
  <si>
    <t>Anguilla</t>
  </si>
  <si>
    <t>Faroe Islands</t>
  </si>
  <si>
    <t>Haiti</t>
  </si>
  <si>
    <t>Puerto Rico</t>
  </si>
  <si>
    <t>Tuvalu</t>
  </si>
  <si>
    <t>New Zealand</t>
  </si>
  <si>
    <t>French Polynesia</t>
  </si>
  <si>
    <t>Trinidad and Tobago</t>
  </si>
  <si>
    <t>Samoa</t>
  </si>
  <si>
    <t>Gambia</t>
  </si>
  <si>
    <t>Togo</t>
  </si>
  <si>
    <t>Mauritania</t>
  </si>
  <si>
    <t>Taiwan</t>
  </si>
  <si>
    <t>Western Sahara</t>
  </si>
  <si>
    <t>Guadeloupe</t>
  </si>
  <si>
    <t>Nicaragua</t>
  </si>
  <si>
    <t>Seychelles</t>
  </si>
  <si>
    <t>British Indian Ocean Territory</t>
  </si>
  <si>
    <t>Djibouti</t>
  </si>
  <si>
    <t>Lao People's Democratic Republic</t>
  </si>
  <si>
    <t>Costa Rica</t>
  </si>
  <si>
    <t>Lesotho</t>
  </si>
  <si>
    <t>Tonga</t>
  </si>
  <si>
    <t>Japan</t>
  </si>
  <si>
    <t>Panama</t>
  </si>
  <si>
    <t>Saint Kitts and Nevis</t>
  </si>
  <si>
    <t>Bouvet Island</t>
  </si>
  <si>
    <t>Egypt</t>
  </si>
  <si>
    <t>Tokelau</t>
  </si>
  <si>
    <t>Grenada</t>
  </si>
  <si>
    <t>Saint Vincent and the Grenadines</t>
  </si>
  <si>
    <t>Nauru</t>
  </si>
  <si>
    <t>San Marino</t>
  </si>
  <si>
    <t>Sint Maarten (Dutch part)</t>
  </si>
  <si>
    <t>Curaçao</t>
  </si>
  <si>
    <t>Cambodia</t>
  </si>
  <si>
    <t>Nigeria</t>
  </si>
  <si>
    <t>Pakistan</t>
  </si>
  <si>
    <t>Qatar</t>
  </si>
  <si>
    <t>Ethiopia</t>
  </si>
  <si>
    <t>Turkey</t>
  </si>
  <si>
    <t>Tajikistan</t>
  </si>
  <si>
    <t>Guam</t>
  </si>
  <si>
    <t>Mayotte</t>
  </si>
  <si>
    <t>Central African Republic</t>
  </si>
  <si>
    <t>Northern Mariana Islands</t>
  </si>
  <si>
    <t>Greenland</t>
  </si>
  <si>
    <t>Slovenia</t>
  </si>
  <si>
    <t>Cayman Islands</t>
  </si>
  <si>
    <t>Saint Pierre and Miquelon</t>
  </si>
  <si>
    <t>Paraguay</t>
  </si>
  <si>
    <t>Zambia</t>
  </si>
  <si>
    <t>Kazakhstan</t>
  </si>
  <si>
    <t>Bermuda</t>
  </si>
  <si>
    <t>Venezuela (Bolivarian Republic of)</t>
  </si>
  <si>
    <t>Jamaica</t>
  </si>
  <si>
    <t>Heard Island and McDonald Islands</t>
  </si>
  <si>
    <t>Solomon Islands</t>
  </si>
  <si>
    <t>Vanuatu</t>
  </si>
  <si>
    <t>Eritrea</t>
  </si>
  <si>
    <t>Turkmenistan</t>
  </si>
  <si>
    <t>Guatemala</t>
  </si>
  <si>
    <t>Lebanon</t>
  </si>
  <si>
    <t>Saudi Arabia</t>
  </si>
  <si>
    <t>Democratic Republic of the Congo</t>
  </si>
  <si>
    <t>Wallis and Futuna Islands</t>
  </si>
  <si>
    <t>Ghana</t>
  </si>
  <si>
    <t>Maldives</t>
  </si>
  <si>
    <t>Papua New Guinea</t>
  </si>
  <si>
    <t>Mongolia</t>
  </si>
  <si>
    <t>Azerbaijan</t>
  </si>
  <si>
    <t>Brunei Darussalam</t>
  </si>
  <si>
    <t>Israel</t>
  </si>
  <si>
    <t>Sao Tome and Principe</t>
  </si>
  <si>
    <t>United States Minor Outlying Islands</t>
  </si>
  <si>
    <t>Gibraltar</t>
  </si>
  <si>
    <t>Armenia</t>
  </si>
  <si>
    <t>Oman</t>
  </si>
  <si>
    <t>Indonesia</t>
  </si>
  <si>
    <t>Slovakia</t>
  </si>
  <si>
    <t>United States Virgin Islands</t>
  </si>
  <si>
    <t>Antigua and Barbuda</t>
  </si>
  <si>
    <t>Falkland Islands (Malvinas)</t>
  </si>
  <si>
    <t>Saint Martin (French Part)</t>
  </si>
  <si>
    <t>Iceland</t>
  </si>
  <si>
    <t>Netherlands</t>
  </si>
  <si>
    <t>Guernsey</t>
  </si>
  <si>
    <t>Bulgaria</t>
  </si>
  <si>
    <t>Switzerland</t>
  </si>
  <si>
    <t>Latvia</t>
  </si>
  <si>
    <t>Italy</t>
  </si>
  <si>
    <t>Ireland</t>
  </si>
  <si>
    <t>Côte d'Ivoire</t>
  </si>
  <si>
    <t>Bonaire, Sint Eustatius and Saba</t>
  </si>
  <si>
    <t>New Caledonia</t>
  </si>
  <si>
    <t>Albania</t>
  </si>
  <si>
    <t>Portugal</t>
  </si>
  <si>
    <t>Poland</t>
  </si>
  <si>
    <t>Martinique</t>
  </si>
  <si>
    <t>Hungary</t>
  </si>
  <si>
    <t>French Guiana</t>
  </si>
  <si>
    <t>Bosnia and Herzegovina</t>
  </si>
  <si>
    <t>Finland</t>
  </si>
  <si>
    <t>Kuwait</t>
  </si>
  <si>
    <t>Mali</t>
  </si>
  <si>
    <t>Estonia</t>
  </si>
  <si>
    <t>Australia</t>
  </si>
  <si>
    <t>Austria</t>
  </si>
  <si>
    <t>Equatorial Guinea</t>
  </si>
  <si>
    <t>Cameroon</t>
  </si>
  <si>
    <t>Afghanistan</t>
  </si>
  <si>
    <t>France</t>
  </si>
  <si>
    <t>Burkina Faso</t>
  </si>
  <si>
    <t>Sweden</t>
  </si>
  <si>
    <t>Denmark</t>
  </si>
  <si>
    <t>United Arab Emirates</t>
  </si>
  <si>
    <t>United States of America</t>
  </si>
  <si>
    <t>Peru</t>
  </si>
  <si>
    <t>NBSAP target (%) for 2020</t>
  </si>
  <si>
    <t>Country</t>
  </si>
  <si>
    <t>Project ID</t>
  </si>
  <si>
    <t>Project Status</t>
  </si>
  <si>
    <t>Comments</t>
  </si>
  <si>
    <t xml:space="preserve">Complete formalization of gazetting the 7 priority areas identified under the BIORAP and its boundaries coordinates. </t>
  </si>
  <si>
    <t>Priority Action</t>
  </si>
  <si>
    <t>Establish Savaii upland as a protected area; Obtain legal status for the PA’s without legal status; and Update the status of Protected Area network to include the Matautu district CCA and Taga Gataivai established under the FPAM project and Malololelei reserve.</t>
  </si>
  <si>
    <t>Total:</t>
  </si>
  <si>
    <t>Establishment of new PAs (Svaneti, Racha, Erusheti, Rioni Delta), according to the feasibility studies; Establish new protected areas on the territories identified as IBAs;</t>
  </si>
  <si>
    <t>Finalize revision of existing PAs; and Proclamation of new PAs</t>
  </si>
  <si>
    <t>Registration of protected areas (2016-2020)</t>
  </si>
  <si>
    <t>By 2020, 3 PAs will be created</t>
  </si>
  <si>
    <t>Global contribution (%)</t>
  </si>
  <si>
    <t>14 future PAs under review</t>
  </si>
  <si>
    <t>Project Approved</t>
  </si>
  <si>
    <t>Concept Approved</t>
  </si>
  <si>
    <t>Target (%)</t>
  </si>
  <si>
    <t>Page # in NBSAP</t>
  </si>
  <si>
    <t>36/44</t>
  </si>
  <si>
    <t>n/a</t>
  </si>
  <si>
    <t>62-63</t>
  </si>
  <si>
    <t>N/A</t>
  </si>
  <si>
    <t>18-19</t>
  </si>
  <si>
    <t>27/43</t>
  </si>
  <si>
    <t>Gambia (the)</t>
  </si>
  <si>
    <t>69-70</t>
  </si>
  <si>
    <t>11/93</t>
  </si>
  <si>
    <t>National Commitments</t>
  </si>
  <si>
    <t>30% Amazon; 17% others</t>
  </si>
  <si>
    <t>by 12%</t>
  </si>
  <si>
    <t>Achieving administrative and legal approval of 70 protected areas of national significance and 63 protected areas of local significance (terrestrial and marine)</t>
  </si>
  <si>
    <t>They will evaluate min between 2 and 5 areas (terrestrial and marine) to incorporate them in the national protected area system</t>
  </si>
  <si>
    <t>Establishment of a system of National Parks</t>
  </si>
  <si>
    <t>Iran</t>
  </si>
  <si>
    <t>Implementation of the project of the establishment of the first network of protected natural areas in Iraq</t>
  </si>
  <si>
    <t xml:space="preserve">Create new community nature reserves and areas of Aboriginal and community heritage </t>
  </si>
  <si>
    <t>The proposed Loma mountain National Forest Reserve to declared a National Park</t>
  </si>
  <si>
    <t>10 new sites proposed</t>
  </si>
  <si>
    <t>Legal enactments for establishment of planned protected areas.</t>
  </si>
  <si>
    <t>48-49</t>
  </si>
  <si>
    <t>by 2030</t>
  </si>
  <si>
    <t>39/56</t>
  </si>
  <si>
    <t>47/131</t>
  </si>
  <si>
    <t>82-83</t>
  </si>
  <si>
    <t>80-81</t>
  </si>
  <si>
    <t xml:space="preserve">by 2025 </t>
  </si>
  <si>
    <t>30% and 17%</t>
  </si>
  <si>
    <t>90/96</t>
  </si>
  <si>
    <t>by 2025</t>
  </si>
  <si>
    <t>91/111</t>
  </si>
  <si>
    <t>86-87</t>
  </si>
  <si>
    <t>29/50-51</t>
  </si>
  <si>
    <t>by 0.5%</t>
  </si>
  <si>
    <t>41/65</t>
  </si>
  <si>
    <t>72-73/80</t>
  </si>
  <si>
    <t>66/72-73</t>
  </si>
  <si>
    <t>649,266 ha</t>
  </si>
  <si>
    <t>61/77-78</t>
  </si>
  <si>
    <t>74-75</t>
  </si>
  <si>
    <t>44/60-61</t>
  </si>
  <si>
    <t>by 2022</t>
  </si>
  <si>
    <t>45</t>
  </si>
  <si>
    <t>40/55</t>
  </si>
  <si>
    <t>121-122</t>
  </si>
  <si>
    <t>71-72</t>
  </si>
  <si>
    <t>by 2024</t>
  </si>
  <si>
    <t>62/66</t>
  </si>
  <si>
    <t>79-80</t>
  </si>
  <si>
    <t>Protected Areas Target</t>
  </si>
  <si>
    <t>58-60</t>
  </si>
  <si>
    <t>26/49</t>
  </si>
  <si>
    <t>93-95/128</t>
  </si>
  <si>
    <t>78-79</t>
  </si>
  <si>
    <t>by 2021</t>
  </si>
  <si>
    <t>17-18/37-40</t>
  </si>
  <si>
    <t>29-31</t>
  </si>
  <si>
    <t>by 2026</t>
  </si>
  <si>
    <t>84-87</t>
  </si>
  <si>
    <t>101-102</t>
  </si>
  <si>
    <t>59-61</t>
  </si>
  <si>
    <t>173-179</t>
  </si>
  <si>
    <t>91-92</t>
  </si>
  <si>
    <t>2550ha</t>
  </si>
  <si>
    <t>13/35-37</t>
  </si>
  <si>
    <t>55/65</t>
  </si>
  <si>
    <t>20-23</t>
  </si>
  <si>
    <t>50/60/82</t>
  </si>
  <si>
    <t>45-47</t>
  </si>
  <si>
    <t>52-53</t>
  </si>
  <si>
    <t>Lao PDR</t>
  </si>
  <si>
    <t>Project
Approved</t>
  </si>
  <si>
    <t>All Project Approved</t>
  </si>
  <si>
    <t>Concept Approved (9403),  All others Project Approved</t>
  </si>
  <si>
    <t>Saint Vincent and Grenadines</t>
  </si>
  <si>
    <t>only core zone of BR included</t>
  </si>
  <si>
    <t>Laureles-Canias, Mafalda, Bosques del Río Negro to be gazetted</t>
  </si>
  <si>
    <t>Other Priority Actions including an increase in PA cover - extent was not specified</t>
  </si>
  <si>
    <t>At least 10% of each ecological region effectively conserved, and areas of particular importance to biodiversity protected</t>
  </si>
  <si>
    <t>17 % of terrestrial areas to be designated as Protected Areas</t>
  </si>
  <si>
    <t xml:space="preserve"> 17% of the terrestrial and inland water areas of Antigua and Barbuda have been protected </t>
  </si>
  <si>
    <t>Reach 13% of the minimum protected area of the national territory</t>
  </si>
  <si>
    <t>Expansion of protected areas - total extent of protected areas in the republic will be enlarged by 12% in terrestrial areas</t>
  </si>
  <si>
    <t>At least 28% of Zimbabwe’s terrestrial and inland water under protection, is maintained and conserved,</t>
  </si>
  <si>
    <t>To improve the quality and increase the area of protected ecosystems, ensuring that the area of terrestrial protected areas accounts for 9% of the total territorial area</t>
  </si>
  <si>
    <t xml:space="preserve">At least 15% of the continental surface is conserved through the National System of Protected Areas (SNAP) </t>
  </si>
  <si>
    <t>At least 17% of  terrestrial and inland water ecosystems in Uganda are conserved</t>
  </si>
  <si>
    <t>Estimated total in 2020: current + commitments</t>
  </si>
  <si>
    <t>Source of national commitment</t>
  </si>
  <si>
    <t>TOTAL additions:</t>
  </si>
  <si>
    <t>National priority actions</t>
  </si>
  <si>
    <r>
      <t>Area being added (km</t>
    </r>
    <r>
      <rPr>
        <b/>
        <vertAlign val="superscript"/>
        <sz val="11"/>
        <color rgb="FF000000"/>
        <rFont val="Calibri"/>
        <family val="2"/>
      </rPr>
      <t>2</t>
    </r>
    <r>
      <rPr>
        <b/>
        <sz val="11"/>
        <color rgb="FF000000"/>
        <rFont val="Calibri"/>
        <family val="2"/>
      </rPr>
      <t>)</t>
    </r>
  </si>
  <si>
    <r>
      <t>Area to be added (km</t>
    </r>
    <r>
      <rPr>
        <b/>
        <vertAlign val="superscript"/>
        <sz val="11"/>
        <color theme="1"/>
        <rFont val="Calibri"/>
        <family val="2"/>
        <scheme val="minor"/>
      </rPr>
      <t>2</t>
    </r>
    <r>
      <rPr>
        <b/>
        <sz val="11"/>
        <color theme="1"/>
        <rFont val="Calibri"/>
        <family val="2"/>
        <scheme val="minor"/>
      </rPr>
      <t>)</t>
    </r>
  </si>
  <si>
    <t>The milestone target on the protection of land
areas, freshwater areas and marine areas is that at
least 20 per cent</t>
  </si>
  <si>
    <t>By 2022, at least 20 per cent of Swaziland’s land areas … are conserved</t>
  </si>
  <si>
    <t>By 2020, at least 17 per cent of terrestrial and inland water … are conserved</t>
  </si>
  <si>
    <t>By 2026, at least 17 per cent of terrestrial and inland water are conserved</t>
  </si>
  <si>
    <t>By 2020, at least 10 percent of the terrestrial and inland water …  are protected</t>
  </si>
  <si>
    <t>To protect through a network of viable, ecologically representative and effectively managed Protected Areas at least 50% of terrestrial areas</t>
  </si>
  <si>
    <t>By 2020, at least 10.3 per cent of national territory holding particular biodiversity and ecosystem services is protected</t>
  </si>
  <si>
    <t>Ensuring the extension of state protected natural areas to up to 8% of the surface area of the country</t>
  </si>
  <si>
    <t>Designating 17% of terrestrial and inland water areas as protected areas</t>
  </si>
  <si>
    <t>Strengthen and update the SINASIP with an ecosystemic vision, in order to effectively maintain at least 17% of the national territory</t>
  </si>
  <si>
    <t>Establish a single and continuous terrestrial conservation area covering 2,550 ha</t>
  </si>
  <si>
    <t>To increase the percentage of Nauru’s protected and conserved areas from the existing 2% of total land, including coastal areas, to 30% by 2025.</t>
  </si>
  <si>
    <t>By 2020, 8% of Myanmar's land area Is conserved within PAs, including ICCAs</t>
  </si>
  <si>
    <t>Accelerate the extension of protected areas …  in order to have an ecologically representative national system of protected areas to open 17% of terrestrial ecosystems</t>
  </si>
  <si>
    <t>Increase the area of protected areas to at least 17% of the state territory</t>
  </si>
  <si>
    <t>By 2025, the PA network is expanded with inclusion of at least 30% of representative ecosystems</t>
  </si>
  <si>
    <t>By 2025, at least 16 per cent of terrestrial and inland water … area conserved</t>
  </si>
  <si>
    <t>Malta's 13% land area covered by terrestrial Natura 2000 sites is maintained</t>
  </si>
  <si>
    <t>By 2018, at least 15% of the total area of the country …  are conserved</t>
  </si>
  <si>
    <t>By 2025, at least 20% of terrestrial areas and inland waters … are conserved</t>
  </si>
  <si>
    <t>In 2025, 10% of terrestrial ecosystems ... are conserved adequately</t>
  </si>
  <si>
    <t>By 2020, at least 4% of existing terrestrial protected areas (national parks, nature reserves, conservation areas set aside in community forests, etc.) are conserved</t>
  </si>
  <si>
    <t>Improve the system of SPNAs and environmental networks (Key actions = increase the area up to 10%)</t>
  </si>
  <si>
    <t>By 2018, the national PA program reviewed and effectively implemented: terrestrial protected areas cover 2%</t>
  </si>
  <si>
    <t>Appropriately conserve and manage at least 17% of inland areas and inland water areas</t>
  </si>
  <si>
    <t>By 2030, at least 20% of terrestrial and inland water ecosystems, are protected.</t>
  </si>
  <si>
    <t>17% of terrestrial area for in-situ conservation in legal protection by 2020</t>
  </si>
  <si>
    <t>Ensuring that at least 17 per cent of terrestrial and Inland water … are conserved</t>
  </si>
  <si>
    <t>By 2020, at least 12% of the country’s terrestrial and inland water areas are covered by protected areas</t>
  </si>
  <si>
    <t>By 2020, at least 5% of terrestrial and inland water …  are conserved through systems of protected areas</t>
  </si>
  <si>
    <t>Finland’s network of protected areas and the measures applied to conserve biodiversity in the use of other areas together cover at least 17 per cent of the terrestrial environments and inland waters</t>
  </si>
  <si>
    <t>By 2020, area coverage of ecologically representative and effectively managed PAs is increased from 14% to 20%</t>
  </si>
  <si>
    <t>By 2020, at least 10% of the national territory (649,255 ha Delineated for terrestrial PAs)</t>
  </si>
  <si>
    <t>By 2030, PAs network secured and expanded to cover 17% of total terrestrial and inland water</t>
  </si>
  <si>
    <t xml:space="preserve">By 2020, at least 20% of terrestrial, inland water ... are conserved </t>
  </si>
  <si>
    <t>By 2020, at least 17% of the national territory representing terrestrial and inland waters is conserved</t>
  </si>
  <si>
    <t>By 2010, the size of protected areas is increased to 8% of the territory</t>
  </si>
  <si>
    <t xml:space="preserve">Conservation of 20% of land areas </t>
  </si>
  <si>
    <t>Short term goal: By 2020, the system of state protected areas will be expanded by 0.5%</t>
  </si>
  <si>
    <t>List and protect sensitive terrestrial and special interest areas (Indicator =  20% of sensitive terrestrial zone and areas of special interest protected)</t>
  </si>
  <si>
    <t>By 2030, at least 17% of land and inland waters … are conserved</t>
  </si>
  <si>
    <t>China will … maintain the total area of territorial nature reserves at 15%</t>
  </si>
  <si>
    <t>By 2025, at least 20% of terrestrial areas … will be conserved</t>
  </si>
  <si>
    <t>By 2015, at least 10% of terrestrial and inland waters … are conserved</t>
  </si>
  <si>
    <t xml:space="preserve">By 2020, at least 30% of the Amazon, 17% of each of the other terrestrial biomes … are conserved </t>
  </si>
  <si>
    <r>
      <t xml:space="preserve">By 2025, at least 25 percent </t>
    </r>
    <r>
      <rPr>
        <sz val="10"/>
        <rFont val="Calibri"/>
        <family val="2"/>
      </rPr>
      <t xml:space="preserve">of all Botswana’s ecoregions … are effectively conserved </t>
    </r>
  </si>
  <si>
    <t>Establish a coherent system for the conservation of continental ecosystems (Outcome = By 2020, a national network of protected areas covering at-least 10% of terrestrial areas is set up)</t>
  </si>
  <si>
    <t>At least 17 per cent of terrestrial and inland water areas … are conserved</t>
  </si>
  <si>
    <t>To ensure the protection and sustainable use of natural and near-natural ecological systems…  (on the territory with the area of at least 22% of the Republic's territory)</t>
  </si>
  <si>
    <t>To protect, conserve and restore ecosystems … aiming at the conservation of at least 20% of terrestrial areas</t>
  </si>
  <si>
    <t>At least 40% of terrestrial and inland water areas are conserved and/or managed efficiently through SIGAP and other forms of management focused on conservation and sustainable use of biodiversity</t>
  </si>
  <si>
    <r>
      <t>Area (km</t>
    </r>
    <r>
      <rPr>
        <vertAlign val="superscript"/>
        <sz val="11"/>
        <color theme="1"/>
        <rFont val="Calibri"/>
        <family val="2"/>
        <scheme val="minor"/>
      </rPr>
      <t>2</t>
    </r>
    <r>
      <rPr>
        <sz val="11"/>
        <color theme="1"/>
        <rFont val="Calibri"/>
        <family val="2"/>
        <scheme val="minor"/>
      </rPr>
      <t xml:space="preserve">) to be added </t>
    </r>
  </si>
  <si>
    <t>Review of PA system of the Country - make room for improvement (new areas, etc.)</t>
  </si>
  <si>
    <t>Expand Forest Genetic Resources Reserve to 1500km2; and increase the number of protected areas, and identify potential protected areas to be included in conservation programs. Korea is also striving to expand per capita size of national park from 132m2 to 153m2</t>
  </si>
  <si>
    <t xml:space="preserve">The PA network will be expanded by 2020 to cover at least 17% of terrestrial area … </t>
  </si>
  <si>
    <t>39/80</t>
  </si>
  <si>
    <t>…covering over 20% of the geographic area of the country, by 2020</t>
  </si>
  <si>
    <t>26-27</t>
  </si>
  <si>
    <r>
      <t>Total land area (km</t>
    </r>
    <r>
      <rPr>
        <b/>
        <vertAlign val="superscript"/>
        <sz val="11"/>
        <color theme="1"/>
        <rFont val="Calibri"/>
        <family val="2"/>
        <scheme val="minor"/>
      </rPr>
      <t>2</t>
    </r>
    <r>
      <rPr>
        <b/>
        <sz val="11"/>
        <color theme="1"/>
        <rFont val="Calibri"/>
        <family val="2"/>
        <scheme val="minor"/>
      </rPr>
      <t>)</t>
    </r>
  </si>
  <si>
    <r>
      <t>Area (km</t>
    </r>
    <r>
      <rPr>
        <b/>
        <vertAlign val="superscript"/>
        <sz val="11"/>
        <color theme="1"/>
        <rFont val="Calibri"/>
        <family val="2"/>
        <scheme val="minor"/>
      </rPr>
      <t>2</t>
    </r>
    <r>
      <rPr>
        <b/>
        <sz val="11"/>
        <color theme="1"/>
        <rFont val="Calibri"/>
        <family val="2"/>
        <scheme val="minor"/>
      </rPr>
      <t>) of PAs 
(Jan 2019)</t>
    </r>
  </si>
  <si>
    <t>Åland Islands</t>
  </si>
  <si>
    <t>Cocos (Keeling) Islands</t>
  </si>
  <si>
    <t>Eswatini</t>
  </si>
  <si>
    <t xml:space="preserve">%PA cover if commitments are implemented </t>
  </si>
  <si>
    <r>
      <t xml:space="preserve">Finalize classification of current projects on a total area of </t>
    </r>
    <r>
      <rPr>
        <b/>
        <sz val="10"/>
        <color theme="1"/>
        <rFont val="Calibri"/>
        <family val="2"/>
        <scheme val="minor"/>
      </rPr>
      <t>10,326.19 km2</t>
    </r>
    <r>
      <rPr>
        <sz val="10"/>
        <color theme="1"/>
        <rFont val="Calibri"/>
        <family val="2"/>
        <scheme val="minor"/>
      </rPr>
      <t xml:space="preserve"> for 13 protected areas including an extension of the Douala Edea Wildlife Reserve; and Supporting communities to create community-managed hunting zones (ZICGC) and community hunting areas in all regions with potential: an average of 1000 km2 per year or</t>
    </r>
    <r>
      <rPr>
        <b/>
        <sz val="10"/>
        <color theme="1"/>
        <rFont val="Calibri"/>
        <family val="2"/>
        <scheme val="minor"/>
      </rPr>
      <t xml:space="preserve"> 5,000 km2 </t>
    </r>
    <r>
      <rPr>
        <sz val="10"/>
        <color theme="1"/>
        <rFont val="Calibri"/>
        <family val="2"/>
        <scheme val="minor"/>
      </rPr>
      <t>additional classified for 2020</t>
    </r>
  </si>
  <si>
    <r>
      <t xml:space="preserve">Increase </t>
    </r>
    <r>
      <rPr>
        <b/>
        <sz val="10"/>
        <color theme="1"/>
        <rFont val="Calibri"/>
        <family val="2"/>
        <scheme val="minor"/>
      </rPr>
      <t>by 0.5%</t>
    </r>
    <r>
      <rPr>
        <sz val="10"/>
        <color theme="1"/>
        <rFont val="Calibri"/>
        <family val="2"/>
        <scheme val="minor"/>
      </rPr>
      <t xml:space="preserve"> terrestrial protected areas (2016-2020)</t>
    </r>
  </si>
  <si>
    <r>
      <t xml:space="preserve">Plan to establish management framework of the designated protected areas and strengthen their functions and to extend the protected areas to </t>
    </r>
    <r>
      <rPr>
        <b/>
        <sz val="10"/>
        <color theme="1"/>
        <rFont val="Calibri"/>
        <family val="2"/>
        <scheme val="minor"/>
      </rPr>
      <t>8 percent</t>
    </r>
    <r>
      <rPr>
        <sz val="10"/>
        <color theme="1"/>
        <rFont val="Calibri"/>
        <family val="2"/>
        <scheme val="minor"/>
      </rPr>
      <t xml:space="preserve"> of the territory area toward 2020</t>
    </r>
  </si>
  <si>
    <r>
      <t>Possibility to increase the number of existing PAs (</t>
    </r>
    <r>
      <rPr>
        <b/>
        <sz val="10"/>
        <color theme="1"/>
        <rFont val="Calibri"/>
        <family val="2"/>
        <scheme val="minor"/>
      </rPr>
      <t>2000 km2</t>
    </r>
    <r>
      <rPr>
        <sz val="10"/>
        <color theme="1"/>
        <rFont val="Calibri"/>
        <family val="2"/>
        <scheme val="minor"/>
      </rPr>
      <t>).</t>
    </r>
  </si>
  <si>
    <r>
      <t xml:space="preserve">Operationalized protected area system on three selected areas that cover a total of 10,098.6km2 will be established - including one Terrestrial PA that covers </t>
    </r>
    <r>
      <rPr>
        <b/>
        <sz val="10"/>
        <color theme="1"/>
        <rFont val="Calibri"/>
        <family val="2"/>
        <scheme val="minor"/>
      </rPr>
      <t>6,492.76km2</t>
    </r>
  </si>
  <si>
    <r>
      <t xml:space="preserve">Creating new protected areas in strategic locations including areas with species facing extinction threats (3 PAs in process of being gazetted = </t>
    </r>
    <r>
      <rPr>
        <b/>
        <sz val="10"/>
        <color theme="1"/>
        <rFont val="Calibri"/>
        <family val="2"/>
        <scheme val="minor"/>
      </rPr>
      <t>20,449km2</t>
    </r>
    <r>
      <rPr>
        <sz val="10"/>
        <color theme="1"/>
        <rFont val="Calibri"/>
        <family val="2"/>
        <scheme val="minor"/>
      </rPr>
      <t>)</t>
    </r>
  </si>
  <si>
    <r>
      <t xml:space="preserve">Add </t>
    </r>
    <r>
      <rPr>
        <b/>
        <sz val="10"/>
        <color theme="1"/>
        <rFont val="Calibri"/>
        <family val="2"/>
        <scheme val="minor"/>
      </rPr>
      <t>20,000ha</t>
    </r>
    <r>
      <rPr>
        <sz val="10"/>
        <color theme="1"/>
        <rFont val="Calibri"/>
        <family val="2"/>
        <scheme val="minor"/>
      </rPr>
      <t xml:space="preserve"> to SIGAP (Guatemala system of PAs)</t>
    </r>
  </si>
  <si>
    <r>
      <t xml:space="preserve">Planned organization of state natural park "Alai" in the Osh region in the territory of about </t>
    </r>
    <r>
      <rPr>
        <b/>
        <sz val="10"/>
        <color theme="1"/>
        <rFont val="Calibri"/>
        <family val="2"/>
        <scheme val="minor"/>
      </rPr>
      <t>36,800 hectares</t>
    </r>
    <r>
      <rPr>
        <sz val="10"/>
        <color theme="1"/>
        <rFont val="Calibri"/>
        <family val="2"/>
        <scheme val="minor"/>
      </rPr>
      <t>.</t>
    </r>
  </si>
  <si>
    <r>
      <t>By 2020, the total area of nature reserves is increased to reach at least</t>
    </r>
    <r>
      <rPr>
        <b/>
        <sz val="10"/>
        <color theme="1"/>
        <rFont val="Calibri"/>
        <family val="2"/>
        <scheme val="minor"/>
      </rPr>
      <t xml:space="preserve"> 4% </t>
    </r>
    <r>
      <rPr>
        <sz val="10"/>
        <color theme="1"/>
        <rFont val="Calibri"/>
        <family val="2"/>
        <scheme val="minor"/>
      </rPr>
      <t>of Lebanon’s area</t>
    </r>
  </si>
  <si>
    <r>
      <t>Declare 5 proposed PAs (</t>
    </r>
    <r>
      <rPr>
        <b/>
        <sz val="10"/>
        <color theme="1"/>
        <rFont val="Calibri"/>
        <family val="2"/>
        <scheme val="minor"/>
      </rPr>
      <t>15,654ha</t>
    </r>
    <r>
      <rPr>
        <sz val="10"/>
        <color theme="1"/>
        <rFont val="Calibri"/>
        <family val="2"/>
        <scheme val="minor"/>
      </rPr>
      <t>) as formal PAs under IUCN management categories and governance types. This would increase Lesotho's PA coverage to ~2%.
Declare community Managed Resource Areas (MRAs) as formal PAs under IUCN Category VI. That would increase PAs coverage (by</t>
    </r>
    <r>
      <rPr>
        <b/>
        <sz val="10"/>
        <color theme="1"/>
        <rFont val="Calibri"/>
        <family val="2"/>
        <scheme val="minor"/>
      </rPr>
      <t xml:space="preserve"> 2939.43km2</t>
    </r>
    <r>
      <rPr>
        <sz val="10"/>
        <color theme="1"/>
        <rFont val="Calibri"/>
        <family val="2"/>
        <scheme val="minor"/>
      </rPr>
      <t>) to 25%</t>
    </r>
  </si>
  <si>
    <r>
      <t xml:space="preserve">Ensure </t>
    </r>
    <r>
      <rPr>
        <b/>
        <sz val="10"/>
        <color theme="1"/>
        <rFont val="Calibri"/>
        <family val="2"/>
        <scheme val="minor"/>
      </rPr>
      <t xml:space="preserve">10-13% </t>
    </r>
    <r>
      <rPr>
        <sz val="10"/>
        <color theme="1"/>
        <rFont val="Calibri"/>
        <family val="2"/>
        <scheme val="minor"/>
      </rPr>
      <t>of forest land areas and remaining biomes are protected - especially as protected areas</t>
    </r>
  </si>
  <si>
    <r>
      <t xml:space="preserve">Expanding protected areas to </t>
    </r>
    <r>
      <rPr>
        <b/>
        <sz val="10"/>
        <color theme="1"/>
        <rFont val="Calibri"/>
        <family val="2"/>
        <scheme val="minor"/>
      </rPr>
      <t xml:space="preserve">25% </t>
    </r>
    <r>
      <rPr>
        <sz val="10"/>
        <color theme="1"/>
        <rFont val="Calibri"/>
        <family val="2"/>
        <scheme val="minor"/>
      </rPr>
      <t>by 2020</t>
    </r>
  </si>
  <si>
    <r>
      <t xml:space="preserve">Increase of  Terrestrial protected areas to </t>
    </r>
    <r>
      <rPr>
        <b/>
        <sz val="10"/>
        <color theme="1"/>
        <rFont val="Calibri"/>
        <family val="2"/>
        <scheme val="minor"/>
      </rPr>
      <t>17%</t>
    </r>
    <r>
      <rPr>
        <sz val="10"/>
        <color theme="1"/>
        <rFont val="Calibri"/>
        <family val="2"/>
        <scheme val="minor"/>
      </rPr>
      <t xml:space="preserve">  according to the targets of NBSAP - through  revision of some protected areas and designation of new protected areas</t>
    </r>
  </si>
  <si>
    <r>
      <t xml:space="preserve">By 2020, classify 25 new protected areas, covering </t>
    </r>
    <r>
      <rPr>
        <b/>
        <sz val="10"/>
        <color theme="1"/>
        <rFont val="Calibri"/>
        <family val="2"/>
        <scheme val="minor"/>
      </rPr>
      <t>2.5 million ha</t>
    </r>
    <r>
      <rPr>
        <sz val="10"/>
        <color theme="1"/>
        <rFont val="Calibri"/>
        <family val="2"/>
        <scheme val="minor"/>
      </rPr>
      <t xml:space="preserve"> (~19% of terrestrial and inland water)</t>
    </r>
  </si>
  <si>
    <r>
      <t xml:space="preserve">Expand PA estate to cover </t>
    </r>
    <r>
      <rPr>
        <b/>
        <sz val="10"/>
        <color theme="1"/>
        <rFont val="Calibri"/>
        <family val="2"/>
        <scheme val="minor"/>
      </rPr>
      <t>4000km2</t>
    </r>
    <r>
      <rPr>
        <sz val="10"/>
        <color theme="1"/>
        <rFont val="Calibri"/>
        <family val="2"/>
        <scheme val="minor"/>
      </rPr>
      <t xml:space="preserve"> of terrestrial ICCA</t>
    </r>
  </si>
  <si>
    <r>
      <t>Ensuring the extension of state protected natural areas to up to</t>
    </r>
    <r>
      <rPr>
        <b/>
        <sz val="10"/>
        <color theme="1"/>
        <rFont val="Calibri"/>
        <family val="2"/>
        <scheme val="minor"/>
      </rPr>
      <t xml:space="preserve"> 8% of the surface area</t>
    </r>
    <r>
      <rPr>
        <sz val="10"/>
        <color theme="1"/>
        <rFont val="Calibri"/>
        <family val="2"/>
        <scheme val="minor"/>
      </rPr>
      <t xml:space="preserve"> of the country [Establish a wetland area of international importance (Ramsar) “Domneasca” in the Middle Prut area; Establish the tri-party Biosphere Reservation “Danube Delta – Lower Prut” (Romania-Republic of Moldova-Ukraine)]</t>
    </r>
  </si>
  <si>
    <r>
      <t xml:space="preserve">6 protected areas will be established adding </t>
    </r>
    <r>
      <rPr>
        <b/>
        <sz val="10"/>
        <color theme="1"/>
        <rFont val="Calibri"/>
        <family val="2"/>
        <scheme val="minor"/>
      </rPr>
      <t>6000 km2</t>
    </r>
  </si>
  <si>
    <r>
      <t xml:space="preserve">By 2020, </t>
    </r>
    <r>
      <rPr>
        <b/>
        <sz val="10"/>
        <color theme="1"/>
        <rFont val="Calibri"/>
        <family val="2"/>
        <scheme val="minor"/>
      </rPr>
      <t>15%</t>
    </r>
    <r>
      <rPr>
        <sz val="10"/>
        <color theme="1"/>
        <rFont val="Calibri"/>
        <family val="2"/>
        <scheme val="minor"/>
      </rPr>
      <t xml:space="preserve"> degree of wilderness protection</t>
    </r>
  </si>
  <si>
    <r>
      <t xml:space="preserve">By 2020, </t>
    </r>
    <r>
      <rPr>
        <b/>
        <sz val="10"/>
        <color theme="1"/>
        <rFont val="Calibri"/>
        <family val="2"/>
        <scheme val="minor"/>
      </rPr>
      <t>15%</t>
    </r>
    <r>
      <rPr>
        <sz val="10"/>
        <color theme="1"/>
        <rFont val="Calibri"/>
        <family val="2"/>
        <scheme val="minor"/>
      </rPr>
      <t xml:space="preserve"> of the territory will be protected</t>
    </r>
  </si>
  <si>
    <r>
      <t xml:space="preserve">To gazette and formalise 6 new informal PAs and formally demarcate as well as manage them for biodiversity conservation. These will increase the formal gazetted PA network from 4.23% </t>
    </r>
    <r>
      <rPr>
        <b/>
        <sz val="10"/>
        <color theme="1"/>
        <rFont val="Calibri"/>
        <family val="2"/>
        <scheme val="minor"/>
      </rPr>
      <t>to 12.4%</t>
    </r>
    <r>
      <rPr>
        <sz val="10"/>
        <color theme="1"/>
        <rFont val="Calibri"/>
        <family val="2"/>
        <scheme val="minor"/>
      </rPr>
      <t xml:space="preserve">. </t>
    </r>
  </si>
  <si>
    <r>
      <t>Resolution of the Cabinet of Ministers №255 from 29 August 2015 "On the comprehensive program of measures to mitigate the effects of the Aral Sea disaster, rehabilitation and socio-economic development of the Aral Sea region in the 2015-2018" envisages the creation of 10 new protected areas with a total area of</t>
    </r>
    <r>
      <rPr>
        <b/>
        <sz val="10"/>
        <color theme="1"/>
        <rFont val="Calibri"/>
        <family val="2"/>
        <scheme val="minor"/>
      </rPr>
      <t xml:space="preserve"> 3.7 mln. ha.</t>
    </r>
  </si>
  <si>
    <r>
      <t xml:space="preserve">Planned 46 PAs will be established, Area of PAs will be increased to </t>
    </r>
    <r>
      <rPr>
        <b/>
        <sz val="10"/>
        <color theme="1"/>
        <rFont val="Calibri"/>
        <family val="2"/>
        <scheme val="minor"/>
      </rPr>
      <t>29,400.0 km2</t>
    </r>
    <r>
      <rPr>
        <sz val="10"/>
        <color theme="1"/>
        <rFont val="Calibri"/>
        <family val="2"/>
        <scheme val="minor"/>
      </rPr>
      <t xml:space="preserve"> by 2020</t>
    </r>
  </si>
  <si>
    <r>
      <rPr>
        <b/>
        <sz val="10"/>
        <color theme="1"/>
        <rFont val="Calibri"/>
        <family val="2"/>
        <scheme val="minor"/>
      </rPr>
      <t>1.5%</t>
    </r>
    <r>
      <rPr>
        <sz val="10"/>
        <color theme="1"/>
        <rFont val="Calibri"/>
        <family val="2"/>
        <scheme val="minor"/>
      </rPr>
      <t xml:space="preserve"> of the ecological regions can be placed under protection to contribute to achieving target 11  </t>
    </r>
  </si>
  <si>
    <r>
      <t xml:space="preserve">7 Proposed PAs covering </t>
    </r>
    <r>
      <rPr>
        <b/>
        <sz val="10"/>
        <color theme="1"/>
        <rFont val="Calibri"/>
        <family val="2"/>
        <scheme val="minor"/>
      </rPr>
      <t xml:space="preserve">7,380.28km2 </t>
    </r>
    <r>
      <rPr>
        <sz val="10"/>
        <color theme="1"/>
        <rFont val="Calibri"/>
        <family val="2"/>
        <scheme val="minor"/>
      </rPr>
      <t>(excluding Taninthayi NP - already in WDPA; with planned expansion under GEF 6992)</t>
    </r>
  </si>
  <si>
    <r>
      <t>Proposed PAs demarcated (</t>
    </r>
    <r>
      <rPr>
        <b/>
        <sz val="10"/>
        <color theme="1"/>
        <rFont val="Calibri"/>
        <family val="2"/>
        <scheme val="minor"/>
      </rPr>
      <t>975.49 km2</t>
    </r>
    <r>
      <rPr>
        <sz val="10"/>
        <color theme="1"/>
        <rFont val="Calibri"/>
        <family val="2"/>
        <scheme val="minor"/>
      </rPr>
      <t>)</t>
    </r>
  </si>
  <si>
    <t>55-57</t>
  </si>
  <si>
    <t xml:space="preserve"> By 2020, at least 17% of terrestrial and inland water … are managed consistent with approved plans</t>
  </si>
  <si>
    <t>136-138</t>
  </si>
  <si>
    <t>21/24</t>
  </si>
  <si>
    <t>14/38-39</t>
  </si>
  <si>
    <t>by 10%</t>
  </si>
  <si>
    <t>Current Status (January 2019)</t>
  </si>
  <si>
    <t>By 2020, at least 30% of the national territory [land cover] … is under effectively and equitably managed PAs</t>
  </si>
  <si>
    <t>By 2030, to expand protected areas by 10-12%</t>
  </si>
  <si>
    <t>By 2021, Bangladesh’s 3% area under terrestrial ecosystems … under PAs or ECAs</t>
  </si>
  <si>
    <t>5,628 km2</t>
  </si>
  <si>
    <t>1,054km2 new terrestrial and 4,214km2 new freshwater PAs created by the 2016-2020 action plan;</t>
  </si>
  <si>
    <t>2550 ha</t>
  </si>
  <si>
    <t>The remaining Parties had NBSAPs providing no clear quantitative target for protected areas or addressed the qualitative aspects of Target 11</t>
  </si>
  <si>
    <t>By 2021, 12% of terrestrial and inland water is conserved …</t>
  </si>
  <si>
    <t>42-43</t>
  </si>
  <si>
    <t>National Target 4: By 2030, at least 20% of natural terrestrial ecosystems are protected</t>
  </si>
  <si>
    <t>add 5,628 km2</t>
  </si>
  <si>
    <t>NBSAPs from 8 Parties did not clearly differentiate between terrestrial and marine areas in their targets</t>
  </si>
  <si>
    <t>32 Parties have not submitted an NBSAP post-COP10</t>
  </si>
  <si>
    <t>By 2020 the total area of terrestrial territories with regulated resource use policies and which play a key role in the provision of ecosystem services is increased to the point where it composes 17%</t>
  </si>
  <si>
    <t>Rock Islands already listed in WDPA; area of Ngeremeskang NR expanded from 870 to 1100ha</t>
  </si>
  <si>
    <r>
      <t xml:space="preserve">Additionally, </t>
    </r>
    <r>
      <rPr>
        <b/>
        <sz val="11"/>
        <color theme="1"/>
        <rFont val="Calibri"/>
        <family val="2"/>
        <scheme val="minor"/>
      </rPr>
      <t>25</t>
    </r>
    <r>
      <rPr>
        <sz val="11"/>
        <color theme="1"/>
        <rFont val="Calibri"/>
        <family val="2"/>
        <scheme val="minor"/>
      </rPr>
      <t xml:space="preserve"> NBSAPs have a specific protected area target with a deadline later than 2020 (four of which also provided interim targets for 2020)</t>
    </r>
  </si>
  <si>
    <r>
      <t>These 25 Parties reaching their targets would</t>
    </r>
    <r>
      <rPr>
        <b/>
        <sz val="11"/>
        <color theme="1"/>
        <rFont val="Calibri"/>
        <family val="2"/>
        <scheme val="minor"/>
      </rPr>
      <t xml:space="preserve"> add &gt;800,000 sq km by 2030</t>
    </r>
  </si>
  <si>
    <t>*Current status of protected area coverage is taken from UNEP-WCMC (2019) Global statistics from the World Database on Protected Areas (WDPA), January 2019. Cambridge, UK: UNEP- WCMC. Updated figures can be accessed from https://protectedplanet.net/</t>
  </si>
  <si>
    <t>Protected Areas Act 2010 declarations: 1 to be declared in 2015; 9 more in progress towards legal declaration by 2 years</t>
  </si>
  <si>
    <t>3 PAs to be declared in 2016 ; New areas have been recommended for declaration as reserves but are still awaiting formal designation</t>
  </si>
  <si>
    <t>Continue the creation of protected areas in areas that are suitable</t>
  </si>
  <si>
    <t>By 2020, addition of 30 new Ramsar sites, leading to the formation of a coherent and comprehensive set of wetlands of national and international importance</t>
  </si>
  <si>
    <t>Six National Protected Areas that along the Shire River Basin will have been strengthened in management , and one wetland that forms part of the Important Zambezian Flood Grasslands  Eco-region will have been developed into a complete community conserved area in the next 5y</t>
  </si>
  <si>
    <t xml:space="preserve">Create and/or effectively manage protected areas to preserve fragile ecosystems and sensitive and/or critical areas of high biodiversity </t>
  </si>
  <si>
    <t>Increase protected areas, develop the quality of the PA s, Management Plan for all Pas</t>
  </si>
  <si>
    <t>Enhance ecosystem representation through the incorporation of protected areas of other subsystems (private, decentralized autonomous governments [GADs], community) to the National System of Protected Areas (SNAP)</t>
  </si>
  <si>
    <t>Establish priority and feasible protected areas, legally recognized, adequately funded and effectively managed entities. Candidate priority areas are Band-i-Amir, Ajar valley, Pamir-i- Buzurg, the entire Wakhan corridor region, Dashte Nawer and Shah Foladi</t>
  </si>
  <si>
    <r>
      <t xml:space="preserve">To successfully create seven new protected terrestrial PA (for a total addition of </t>
    </r>
    <r>
      <rPr>
        <b/>
        <sz val="10"/>
        <color theme="1"/>
        <rFont val="Calibri"/>
        <family val="2"/>
        <scheme val="minor"/>
      </rPr>
      <t>4,831,803 hectares</t>
    </r>
    <r>
      <rPr>
        <sz val="10"/>
        <color theme="1"/>
        <rFont val="Calibri"/>
        <family val="2"/>
        <scheme val="minor"/>
      </rPr>
      <t xml:space="preserve">) in order to increase in 2.46% for a total of 15.61% of the country.   
(3 of the new PAs were designated in 2016 [Islas del Pacífico, Sierra de Tamaulipas, Zona Marina Profunda Pacífico Transicional Mexicano y Centroamericano], area of remaining PAs is </t>
    </r>
    <r>
      <rPr>
        <b/>
        <sz val="10"/>
        <color theme="1"/>
        <rFont val="Calibri"/>
        <family val="2"/>
        <scheme val="minor"/>
      </rPr>
      <t xml:space="preserve">34,415.86km2 </t>
    </r>
    <r>
      <rPr>
        <sz val="10"/>
        <color theme="1"/>
        <rFont val="Calibri"/>
        <family val="2"/>
        <scheme val="minor"/>
      </rPr>
      <t>after removing overlapping Ramsar sites)</t>
    </r>
  </si>
  <si>
    <r>
      <t xml:space="preserve">Proposed PAs from Wokshop Questionnaire (8/10 already listed in WDPA. area of remaining two is </t>
    </r>
    <r>
      <rPr>
        <b/>
        <sz val="10"/>
        <color theme="1"/>
        <rFont val="Calibri"/>
        <family val="2"/>
        <scheme val="minor"/>
      </rPr>
      <t>374km2</t>
    </r>
    <r>
      <rPr>
        <sz val="10"/>
        <color theme="1"/>
        <rFont val="Calibri"/>
        <family val="2"/>
        <scheme val="minor"/>
      </rPr>
      <t>)</t>
    </r>
  </si>
  <si>
    <r>
      <t xml:space="preserve">There are 38 proposed protected areas covering 110,939.5 sq km, 5.55% of the total area of the Kingdom [11,614.33 is marine, so total incresae would be </t>
    </r>
    <r>
      <rPr>
        <b/>
        <sz val="10"/>
        <color theme="1"/>
        <rFont val="Calibri"/>
        <family val="2"/>
        <scheme val="minor"/>
      </rPr>
      <t>99,325 km2</t>
    </r>
    <r>
      <rPr>
        <sz val="10"/>
        <color theme="1"/>
        <rFont val="Calibri"/>
        <family val="2"/>
        <scheme val="minor"/>
      </rPr>
      <t>]</t>
    </r>
  </si>
  <si>
    <r>
      <t>Diawling National Park (​​16,000 hectares) will increase to to 56,000 hactares in the new Strategy for AMP and ZIB 2015-2020 [</t>
    </r>
    <r>
      <rPr>
        <b/>
        <sz val="10"/>
        <color theme="1"/>
        <rFont val="Calibri"/>
        <family val="2"/>
        <scheme val="minor"/>
      </rPr>
      <t>40,000 ha increase</t>
    </r>
    <r>
      <rPr>
        <sz val="10"/>
        <color theme="1"/>
        <rFont val="Calibri"/>
        <family val="2"/>
        <scheme val="minor"/>
      </rPr>
      <t>]</t>
    </r>
  </si>
  <si>
    <r>
      <t xml:space="preserve">Proceed with the creation of new protected areas in the identified priority areas - creating protected areas covering </t>
    </r>
    <r>
      <rPr>
        <b/>
        <sz val="10"/>
        <color theme="1"/>
        <rFont val="Calibri"/>
        <family val="2"/>
        <scheme val="minor"/>
      </rPr>
      <t xml:space="preserve">about 1.5% of the territory </t>
    </r>
    <r>
      <rPr>
        <sz val="10"/>
        <color theme="1"/>
        <rFont val="Calibri"/>
        <family val="2"/>
        <scheme val="minor"/>
      </rPr>
      <t>[Increase of 26,461 km2 (~1.1% of country) b/w workshop and May 2018]</t>
    </r>
  </si>
  <si>
    <r>
      <t>2,500,000 ha of new protected areas (both terrestrial and marine) to get a total of 15,73% terrestrial (increase of</t>
    </r>
    <r>
      <rPr>
        <b/>
        <sz val="10"/>
        <rFont val="Calibri"/>
        <family val="2"/>
        <scheme val="minor"/>
      </rPr>
      <t xml:space="preserve"> 23,129.6 km2</t>
    </r>
    <r>
      <rPr>
        <sz val="10"/>
        <rFont val="Calibri"/>
        <family val="2"/>
        <scheme val="minor"/>
      </rPr>
      <t>, from reported 2014 protection level) [Increase of 9,948.5km2 b/w workshop and Jan2019]</t>
    </r>
  </si>
  <si>
    <r>
      <t xml:space="preserve">Creation of 5 new protected land areas in more than </t>
    </r>
    <r>
      <rPr>
        <b/>
        <sz val="10"/>
        <color theme="1"/>
        <rFont val="Calibri"/>
        <family val="2"/>
        <scheme val="minor"/>
      </rPr>
      <t xml:space="preserve">200 thousand hectares </t>
    </r>
    <r>
      <rPr>
        <sz val="10"/>
        <color theme="1"/>
        <rFont val="Calibri"/>
        <family val="2"/>
        <scheme val="minor"/>
      </rPr>
      <t>[Increase of 1,716.17km2 b/w workshop and Jan2019]</t>
    </r>
  </si>
  <si>
    <r>
      <t>Protected Area coverage of terrestrial and inland water will be increased from less than 1% (1170 sq km) to 3% (4430 sq. km) to 5% (7400 sq km) of the country [</t>
    </r>
    <r>
      <rPr>
        <b/>
        <sz val="10"/>
        <color theme="1"/>
        <rFont val="Calibri"/>
        <family val="2"/>
        <scheme val="minor"/>
      </rPr>
      <t>adding 5,210km2</t>
    </r>
    <r>
      <rPr>
        <sz val="10"/>
        <color theme="1"/>
        <rFont val="Calibri"/>
        <family val="2"/>
        <scheme val="minor"/>
      </rPr>
      <t>]</t>
    </r>
  </si>
  <si>
    <t>Area of 2 existing Ramsar sites (160km2) subtracted</t>
  </si>
  <si>
    <t>Area (km2) needed to reach target (removing other commitments)</t>
  </si>
  <si>
    <r>
      <t xml:space="preserve">14% by the end of 2014; and 17% </t>
    </r>
    <r>
      <rPr>
        <b/>
        <sz val="10"/>
        <color theme="1"/>
        <rFont val="Calibri"/>
        <family val="2"/>
        <scheme val="minor"/>
      </rPr>
      <t>by 2021</t>
    </r>
  </si>
  <si>
    <t>Micronesia Challenge goals (20% of terrestrial area and 30% of marine area are part of effectively managed PA's) are achieved by 2020</t>
  </si>
  <si>
    <r>
      <t xml:space="preserve">By 2019, 13.2 % in the conservation estate
</t>
    </r>
    <r>
      <rPr>
        <b/>
        <sz val="10"/>
        <rFont val="Calibri"/>
        <family val="2"/>
        <scheme val="minor"/>
      </rPr>
      <t>By 2028</t>
    </r>
    <r>
      <rPr>
        <sz val="10"/>
        <rFont val="Calibri"/>
        <family val="2"/>
        <scheme val="minor"/>
      </rPr>
      <t xml:space="preserve">, in protected areas: 10.8m land-based hectares, </t>
    </r>
  </si>
  <si>
    <t xml:space="preserve">By 2020, at least 17 percent of terrestrial and inland water ... are conserved 
</t>
  </si>
  <si>
    <t>By 2030, representative examples of at 17% of terrestrial areas ... are conserved through</t>
  </si>
  <si>
    <r>
      <t xml:space="preserve">At least 5% (by 2020) and </t>
    </r>
    <r>
      <rPr>
        <b/>
        <sz val="10"/>
        <rFont val="Calibri"/>
        <family val="2"/>
        <scheme val="minor"/>
      </rPr>
      <t>7% (by 2025)</t>
    </r>
    <r>
      <rPr>
        <sz val="10"/>
        <rFont val="Calibri"/>
        <family val="2"/>
        <scheme val="minor"/>
      </rPr>
      <t xml:space="preserve"> of terrestrial and inland water areas …</t>
    </r>
  </si>
  <si>
    <r>
      <t xml:space="preserve">National Target 11:  To increase the surface of protected areas to </t>
    </r>
    <r>
      <rPr>
        <b/>
        <sz val="10"/>
        <rFont val="Calibri"/>
        <family val="2"/>
        <scheme val="minor"/>
      </rPr>
      <t>15% by 2023</t>
    </r>
    <r>
      <rPr>
        <sz val="10"/>
        <rFont val="Calibri"/>
        <family val="2"/>
        <scheme val="minor"/>
      </rPr>
      <t xml:space="preserve"> (target of 12% for 2020)</t>
    </r>
  </si>
  <si>
    <r>
      <t xml:space="preserve">Approved </t>
    </r>
    <r>
      <rPr>
        <sz val="11"/>
        <color indexed="8"/>
        <rFont val="Calibri"/>
        <family val="2"/>
      </rPr>
      <t xml:space="preserve">GEF-5/GEF-6 projects </t>
    </r>
  </si>
  <si>
    <t>PA targets in post-COP10 NBSAPs</t>
  </si>
  <si>
    <r>
      <t>Area (km</t>
    </r>
    <r>
      <rPr>
        <b/>
        <vertAlign val="superscript"/>
        <sz val="11"/>
        <rFont val="Calibri"/>
        <family val="2"/>
        <scheme val="minor"/>
      </rPr>
      <t>2</t>
    </r>
    <r>
      <rPr>
        <b/>
        <sz val="11"/>
        <rFont val="Calibri"/>
        <family val="2"/>
        <scheme val="minor"/>
      </rPr>
      <t>) needed to reach target by 2020</t>
    </r>
  </si>
  <si>
    <r>
      <t>Net NBSAP contribution (km</t>
    </r>
    <r>
      <rPr>
        <b/>
        <vertAlign val="superscript"/>
        <sz val="11"/>
        <rFont val="Calibri"/>
        <family val="2"/>
        <scheme val="minor"/>
      </rPr>
      <t>2</t>
    </r>
    <r>
      <rPr>
        <b/>
        <sz val="11"/>
        <rFont val="Calibri"/>
        <family val="2"/>
        <scheme val="minor"/>
      </rPr>
      <t>)</t>
    </r>
  </si>
  <si>
    <r>
      <t>Priority Actions (km</t>
    </r>
    <r>
      <rPr>
        <b/>
        <vertAlign val="superscript"/>
        <sz val="11"/>
        <color theme="1"/>
        <rFont val="Calibri"/>
        <family val="2"/>
        <scheme val="minor"/>
      </rPr>
      <t>2</t>
    </r>
    <r>
      <rPr>
        <b/>
        <sz val="11"/>
        <color theme="1"/>
        <rFont val="Calibri"/>
        <family val="2"/>
        <scheme val="minor"/>
      </rPr>
      <t>)</t>
    </r>
  </si>
  <si>
    <r>
      <t>Approved GEF projects (km</t>
    </r>
    <r>
      <rPr>
        <b/>
        <vertAlign val="superscript"/>
        <sz val="11"/>
        <rFont val="Calibri"/>
        <family val="2"/>
        <scheme val="minor"/>
      </rPr>
      <t>2</t>
    </r>
    <r>
      <rPr>
        <b/>
        <sz val="11"/>
        <rFont val="Calibri"/>
        <family val="2"/>
        <scheme val="minor"/>
      </rPr>
      <t>)</t>
    </r>
  </si>
  <si>
    <r>
      <t>Net National Commitments (km</t>
    </r>
    <r>
      <rPr>
        <b/>
        <vertAlign val="superscript"/>
        <sz val="11"/>
        <rFont val="Calibri"/>
        <family val="2"/>
        <scheme val="minor"/>
      </rPr>
      <t>2</t>
    </r>
    <r>
      <rPr>
        <b/>
        <sz val="11"/>
        <rFont val="Calibri"/>
        <family val="2"/>
        <scheme val="minor"/>
      </rPr>
      <t>)</t>
    </r>
  </si>
  <si>
    <t>% PA cover 
(Jan 2019)</t>
  </si>
  <si>
    <r>
      <t xml:space="preserve">National priority actions </t>
    </r>
    <r>
      <rPr>
        <sz val="11"/>
        <color indexed="8"/>
        <rFont val="Calibri"/>
        <family val="2"/>
      </rPr>
      <t>were provided by Parties to the Convention through a series of regional capacity-building workshops carried out in 2015 and 2016; these workshops covered all developing country regions. Those actions which have been completed and are accounted for in the January 2019 release of the WDPA are not included. Actions which are covered by a GEF project are not counted here. Priority actions and opportunities for improving the status or Aichi Biodiversity Target 11 are provided in the annexes of the regional workshop reports, and are available online at: https://www.cbd.int/meetings/</t>
    </r>
  </si>
  <si>
    <t>**Names of territories included in this document do not imply endorsement or acceptance by the United Nations</t>
  </si>
  <si>
    <t>***While the authors have carefully reviewed the data, any errors that may be identified should also be brought to their attention (contact: sarat.gidda@cbd.int)</t>
  </si>
  <si>
    <r>
      <t xml:space="preserve">Projects from the fifth and sixth replenishment of the </t>
    </r>
    <r>
      <rPr>
        <b/>
        <sz val="11"/>
        <color theme="1"/>
        <rFont val="Calibri"/>
        <family val="2"/>
        <scheme val="minor"/>
      </rPr>
      <t xml:space="preserve">Global Environment Facility </t>
    </r>
    <r>
      <rPr>
        <sz val="11"/>
        <color theme="1"/>
        <rFont val="Calibri"/>
        <family val="2"/>
        <scheme val="minor"/>
      </rPr>
      <t>(GEF-5 and GEF-6) containing some increase in marine protected area coverage; only those projects with a status of ‘project approved’ or ‘concept approved’ as of June 2017 were considered.  All projects can be found online at: https://www.thegef.org/projects, while individual projects can be accessed following the hyperlink on the GEF projects tab</t>
    </r>
  </si>
  <si>
    <t>National priority goals = 13% terrestrial PA coverage</t>
  </si>
  <si>
    <t>Creation of new PAs including prairies and shrublands, the mountains of the East and the aquatic environments of lake Tanganyika
National Target = Bring the protected land area to 15% of the national territory</t>
  </si>
  <si>
    <t>To designate new PAs (both state and Private land) as proposed by the PANES using the newly enacted legislation
(from Questionnaire: The target for Mauritius is to place 10 % of Mauritian terrestrial area within a Protected Area Network by 2015)</t>
  </si>
  <si>
    <t>Republic of North Macedonia</t>
  </si>
  <si>
    <t xml:space="preserve">By 2020, at least 17% of terrestrial, inland water ... are conserved </t>
  </si>
  <si>
    <t>Both Project Approved</t>
  </si>
  <si>
    <t>Concept Approved, Project Approved</t>
  </si>
  <si>
    <r>
      <t xml:space="preserve">Protected area targets from </t>
    </r>
    <r>
      <rPr>
        <b/>
        <sz val="11"/>
        <color theme="1"/>
        <rFont val="Calibri"/>
        <family val="2"/>
        <scheme val="minor"/>
      </rPr>
      <t xml:space="preserve">post-COP10 NBSAPs </t>
    </r>
    <r>
      <rPr>
        <sz val="11"/>
        <color theme="1"/>
        <rFont val="Calibri"/>
        <family val="2"/>
        <scheme val="minor"/>
      </rPr>
      <t>(National Biodiversity Strategies and Action Plans)</t>
    </r>
    <r>
      <rPr>
        <b/>
        <sz val="11"/>
        <color theme="1"/>
        <rFont val="Calibri"/>
        <family val="2"/>
        <scheme val="minor"/>
      </rPr>
      <t xml:space="preserve"> </t>
    </r>
    <r>
      <rPr>
        <sz val="11"/>
        <color theme="1"/>
        <rFont val="Calibri"/>
        <family val="2"/>
        <scheme val="minor"/>
      </rPr>
      <t>submitted as of Jan 2019</t>
    </r>
    <r>
      <rPr>
        <b/>
        <sz val="11"/>
        <color theme="1"/>
        <rFont val="Calibri"/>
        <family val="2"/>
        <scheme val="minor"/>
      </rPr>
      <t xml:space="preserve"> </t>
    </r>
    <r>
      <rPr>
        <sz val="11"/>
        <color theme="1"/>
        <rFont val="Calibri"/>
        <family val="2"/>
        <scheme val="minor"/>
      </rPr>
      <t>are included, as is the additional area that will need to be added to meet these targets, removing protected areas being added through any of the above commitments. Targets submitted by Parties with a deadline later than 2020, or those that did not differentiate terrestrial and marine targets are not included.  All NBSAPs can be found online at: https://www.cbd.int/nbsap/, while individual NBSAPs can be accessed following the hyperlink on the NBSAPs tab</t>
    </r>
  </si>
  <si>
    <t>Completed</t>
  </si>
  <si>
    <t>Is this area already reported?</t>
  </si>
  <si>
    <r>
      <t xml:space="preserve">1 million ha of PA created in Caatinga and Pantanal biomes, with the support of GEF [project #4859 - see GEF tab]; </t>
    </r>
    <r>
      <rPr>
        <b/>
        <sz val="10"/>
        <color theme="1"/>
        <rFont val="Calibri"/>
        <family val="2"/>
        <scheme val="minor"/>
      </rPr>
      <t xml:space="preserve">6 million ha </t>
    </r>
    <r>
      <rPr>
        <sz val="10"/>
        <color theme="1"/>
        <rFont val="Calibri"/>
        <family val="2"/>
        <scheme val="minor"/>
      </rPr>
      <t>of PA creates in Amazon Rain Forest, with the support of ARPA [3 mil ha covered under GEF #9664]</t>
    </r>
  </si>
  <si>
    <t>Concept Approved (9441), All others Project Approved</t>
  </si>
  <si>
    <t>Livanjsko Polje laready designated as a Ramsar site (listed in WPDA)</t>
  </si>
  <si>
    <t xml:space="preserve"> </t>
  </si>
  <si>
    <t>Concept Approved (9486),  Project Approved (5122)</t>
  </si>
  <si>
    <t>some of this may cover marine areas</t>
  </si>
  <si>
    <t>UNDP</t>
  </si>
  <si>
    <t>UN Environment</t>
  </si>
  <si>
    <t>African Development Bank</t>
  </si>
  <si>
    <t>The World Bank</t>
  </si>
  <si>
    <t>FAO</t>
  </si>
  <si>
    <t>Conservation International</t>
  </si>
  <si>
    <t>Implementing Agency</t>
  </si>
  <si>
    <t>Inter-American Development Bank (#4834 and 4859); World Bank (#9664)</t>
  </si>
  <si>
    <t>FAO (#4800); UN Environment (#5210)</t>
  </si>
  <si>
    <t>Both UNDP</t>
  </si>
  <si>
    <t>UNDP (#4469); FAO (#5657)</t>
  </si>
  <si>
    <t>FAO (#5122); IUCN (#9846)</t>
  </si>
  <si>
    <t>UNDP (#4763, 5089, and 5517); World Bank (#4792); Conservation International (#9445)</t>
  </si>
  <si>
    <t>UNDP (#4772 and 4916); Inter-American Development Bank (#4849); FAO (#9441)</t>
  </si>
  <si>
    <t>FAO (#4526; 4662); World Bank (#4651); UNDP (#4653, 4655, 4811, 4868, 4896, and 9403)</t>
  </si>
  <si>
    <t>Not defined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</si>
</sst>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0.0%"/>
    <numFmt numFmtId="166" formatCode="#,##0.0"/>
    <numFmt numFmtId="167" formatCode="0.0"/>
    <numFmt numFmtId="168" formatCode="#,##0.000000"/>
    <numFmt numFmtId="169" formatCode="#,##0.000"/>
  </numFmts>
  <fonts count="4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name val="Calibri"/>
      <family val="2"/>
      <scheme val="minor"/>
    </font>
    <font>
      <sz val="10"/>
      <name val="Arial"/>
      <family val="2"/>
    </font>
    <font>
      <sz val="11"/>
      <color rgb="FF333333"/>
      <name val="Calibri"/>
      <family val="2"/>
      <scheme val="minor"/>
    </font>
    <font>
      <b/>
      <sz val="11"/>
      <color rgb="FF000000"/>
      <name val="Calibri"/>
      <family val="2"/>
    </font>
    <font>
      <b/>
      <i/>
      <sz val="11"/>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b/>
      <vertAlign val="superscript"/>
      <sz val="11"/>
      <color theme="1"/>
      <name val="Calibri"/>
      <family val="2"/>
      <scheme val="minor"/>
    </font>
    <font>
      <sz val="11"/>
      <color indexed="8"/>
      <name val="Calibri"/>
      <family val="2"/>
    </font>
    <font>
      <b/>
      <sz val="10"/>
      <color theme="1"/>
      <name val="Calibri"/>
      <family val="2"/>
      <scheme val="minor"/>
    </font>
    <font>
      <sz val="10"/>
      <name val="Calibri"/>
      <family val="2"/>
      <scheme val="minor"/>
    </font>
    <font>
      <sz val="10.5"/>
      <color theme="1"/>
      <name val="Times New Roman"/>
      <family val="1"/>
    </font>
    <font>
      <b/>
      <vertAlign val="superscript"/>
      <sz val="11"/>
      <color rgb="FF000000"/>
      <name val="Calibri"/>
      <family val="2"/>
    </font>
    <font>
      <sz val="10"/>
      <name val="Calibri"/>
      <family val="2"/>
    </font>
    <font>
      <b/>
      <sz val="11"/>
      <color theme="1"/>
      <name val="Calibri"/>
      <family val="2"/>
      <scheme val="minor"/>
    </font>
    <font>
      <vertAlign val="superscript"/>
      <sz val="11"/>
      <color theme="1"/>
      <name val="Calibri"/>
      <family val="2"/>
      <scheme val="minor"/>
    </font>
    <font>
      <sz val="11"/>
      <color theme="1"/>
      <name val="Calibri"/>
      <family val="2"/>
      <scheme val="minor"/>
    </font>
    <font>
      <sz val="11"/>
      <color indexed="8"/>
      <name val="Calibri"/>
      <family val="2"/>
    </font>
    <font>
      <sz val="11"/>
      <color rgb="FF000000"/>
      <name val="Calibri"/>
      <family val="2"/>
      <scheme val="minor"/>
    </font>
    <font>
      <b/>
      <i/>
      <sz val="14"/>
      <color theme="1"/>
      <name val="Calibri"/>
      <family val="2"/>
      <scheme val="minor"/>
    </font>
    <font>
      <sz val="11"/>
      <color theme="1"/>
      <name val="Calibri"/>
      <family val="2"/>
      <scheme val="minor"/>
    </font>
    <font>
      <b/>
      <sz val="11"/>
      <color indexed="8"/>
      <name val="Calibri"/>
      <family val="2"/>
    </font>
    <font>
      <b/>
      <sz val="18"/>
      <color theme="3"/>
      <name val="Cambria"/>
      <family val="2"/>
      <scheme val="major"/>
    </font>
    <font>
      <b/>
      <sz val="10"/>
      <name val="Calibri"/>
      <family val="2"/>
      <scheme val="minor"/>
    </font>
    <font>
      <u/>
      <sz val="11"/>
      <color rgb="FFFF0000"/>
      <name val="Calibri"/>
      <family val="2"/>
      <scheme val="minor"/>
    </font>
    <font>
      <b/>
      <sz val="11"/>
      <color theme="1"/>
      <name val="Calibri"/>
      <family val="2"/>
    </font>
    <font>
      <b/>
      <vertAlign val="superscript"/>
      <sz val="11"/>
      <name val="Calibri"/>
      <family val="2"/>
      <scheme val="minor"/>
    </font>
    <font>
      <sz val="11"/>
      <color rgb="FF00B05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0B05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48">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5" fillId="0" borderId="0" applyNumberFormat="0" applyFill="0" applyBorder="0" applyAlignment="0" applyProtection="0"/>
    <xf numFmtId="0" fontId="41" fillId="0" borderId="0" applyNumberFormat="0" applyFill="0" applyBorder="0" applyAlignment="0" applyProtection="0"/>
  </cellStyleXfs>
  <cellXfs count="270">
    <xf numFmtId="0" fontId="0" fillId="0" borderId="0" xfId="0"/>
    <xf numFmtId="0" fontId="21" fillId="0" borderId="10" xfId="0" applyFont="1" applyFill="1" applyBorder="1" applyAlignment="1">
      <alignment horizontal="left" wrapText="1"/>
    </xf>
    <xf numFmtId="0" fontId="0" fillId="0" borderId="0" xfId="0" applyAlignment="1">
      <alignment wrapText="1"/>
    </xf>
    <xf numFmtId="0" fontId="15" fillId="0" borderId="10" xfId="0" applyFont="1" applyFill="1" applyBorder="1" applyAlignment="1">
      <alignment wrapText="1"/>
    </xf>
    <xf numFmtId="0" fontId="23" fillId="0" borderId="0" xfId="0" applyFont="1" applyAlignment="1">
      <alignment wrapText="1"/>
    </xf>
    <xf numFmtId="3" fontId="0" fillId="0" borderId="0" xfId="0" applyNumberFormat="1"/>
    <xf numFmtId="0" fontId="0" fillId="0" borderId="0" xfId="0" applyFill="1" applyBorder="1" applyAlignment="1">
      <alignment wrapText="1"/>
    </xf>
    <xf numFmtId="0" fontId="18" fillId="0" borderId="0" xfId="0" applyFont="1" applyBorder="1" applyAlignment="1">
      <alignment horizontal="left" vertical="center" wrapText="1"/>
    </xf>
    <xf numFmtId="0" fontId="18" fillId="0" borderId="0" xfId="0" applyNumberFormat="1" applyFont="1" applyBorder="1" applyAlignment="1">
      <alignment horizontal="left" vertical="center" wrapText="1"/>
    </xf>
    <xf numFmtId="0" fontId="0" fillId="0" borderId="0" xfId="0" applyFont="1" applyBorder="1" applyAlignment="1">
      <alignment wrapText="1"/>
    </xf>
    <xf numFmtId="0" fontId="18"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0" fillId="0" borderId="0" xfId="0" applyAlignment="1">
      <alignment vertical="center" wrapText="1"/>
    </xf>
    <xf numFmtId="0" fontId="20" fillId="0" borderId="0" xfId="0" applyFont="1" applyFill="1" applyBorder="1" applyAlignment="1">
      <alignment horizontal="left" vertical="center" wrapText="1"/>
    </xf>
    <xf numFmtId="0" fontId="15" fillId="0" borderId="10"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NumberFormat="1" applyFont="1" applyBorder="1" applyAlignment="1">
      <alignment horizontal="left" vertical="center" wrapText="1"/>
    </xf>
    <xf numFmtId="0" fontId="25" fillId="0" borderId="0" xfId="46" applyAlignment="1">
      <alignment vertical="center" wrapText="1"/>
    </xf>
    <xf numFmtId="9" fontId="18" fillId="0" borderId="0" xfId="0" applyNumberFormat="1" applyFont="1" applyAlignment="1">
      <alignment horizontal="center" vertical="center" wrapText="1"/>
    </xf>
    <xf numFmtId="3" fontId="0" fillId="0" borderId="0" xfId="0" applyNumberFormat="1" applyAlignment="1">
      <alignment horizontal="center" vertical="center" wrapText="1"/>
    </xf>
    <xf numFmtId="0" fontId="18" fillId="0" borderId="0" xfId="0" applyFont="1" applyAlignment="1">
      <alignment horizontal="right" vertical="center" wrapText="1"/>
    </xf>
    <xf numFmtId="0" fontId="18" fillId="0" borderId="0" xfId="0" quotePrefix="1" applyFont="1" applyAlignment="1">
      <alignment horizontal="right" vertical="center" wrapText="1"/>
    </xf>
    <xf numFmtId="0" fontId="19" fillId="0" borderId="0" xfId="0" applyFont="1" applyAlignment="1">
      <alignment horizontal="center" vertical="center" wrapText="1"/>
    </xf>
    <xf numFmtId="0" fontId="0" fillId="0" borderId="0" xfId="0" applyFont="1" applyAlignment="1">
      <alignment horizontal="right" vertical="center" wrapText="1"/>
    </xf>
    <xf numFmtId="0" fontId="25" fillId="33" borderId="0" xfId="46" applyFill="1" applyAlignment="1">
      <alignment vertical="center" wrapText="1"/>
    </xf>
    <xf numFmtId="9" fontId="18" fillId="0" borderId="0" xfId="0" quotePrefix="1" applyNumberFormat="1" applyFont="1" applyAlignment="1">
      <alignment horizontal="center" vertical="center" wrapText="1"/>
    </xf>
    <xf numFmtId="9" fontId="18" fillId="0" borderId="0" xfId="0" applyNumberFormat="1" applyFont="1" applyFill="1" applyAlignment="1">
      <alignment horizontal="center" vertical="center" wrapText="1"/>
    </xf>
    <xf numFmtId="9" fontId="0" fillId="0" borderId="0" xfId="0" applyNumberFormat="1" applyFont="1" applyFill="1" applyAlignment="1">
      <alignment horizontal="center" vertical="center" wrapText="1"/>
    </xf>
    <xf numFmtId="17" fontId="18" fillId="0" borderId="0" xfId="0" quotePrefix="1" applyNumberFormat="1" applyFont="1" applyAlignment="1">
      <alignment horizontal="right" vertical="center" wrapText="1"/>
    </xf>
    <xf numFmtId="0" fontId="18" fillId="0" borderId="0" xfId="0" applyNumberFormat="1" applyFont="1" applyAlignment="1">
      <alignment horizontal="right" vertical="center" wrapText="1"/>
    </xf>
    <xf numFmtId="0" fontId="25" fillId="34" borderId="0" xfId="46" applyFill="1" applyAlignment="1">
      <alignment vertical="center" wrapText="1"/>
    </xf>
    <xf numFmtId="0" fontId="0" fillId="0" borderId="0" xfId="0" applyFill="1"/>
    <xf numFmtId="0" fontId="23" fillId="0" borderId="0" xfId="0" applyFont="1" applyFill="1" applyAlignment="1">
      <alignment wrapText="1"/>
    </xf>
    <xf numFmtId="0" fontId="23" fillId="0" borderId="0" xfId="0" applyFont="1" applyFill="1"/>
    <xf numFmtId="0" fontId="29" fillId="0" borderId="0" xfId="0" applyFont="1" applyFill="1" applyBorder="1" applyAlignment="1">
      <alignment wrapText="1"/>
    </xf>
    <xf numFmtId="0" fontId="18" fillId="0" borderId="0" xfId="0" applyFont="1" applyAlignment="1"/>
    <xf numFmtId="165" fontId="18" fillId="0" borderId="0" xfId="0" applyNumberFormat="1" applyFont="1" applyAlignment="1">
      <alignment horizontal="center" vertical="center" wrapText="1"/>
    </xf>
    <xf numFmtId="0" fontId="0" fillId="0" borderId="0" xfId="0" applyAlignment="1">
      <alignment horizontal="right" vertical="center" wrapText="1"/>
    </xf>
    <xf numFmtId="0" fontId="18" fillId="0" borderId="0" xfId="0" applyFont="1" applyFill="1" applyAlignment="1">
      <alignment horizontal="right" vertical="center" wrapText="1"/>
    </xf>
    <xf numFmtId="3" fontId="0" fillId="0" borderId="0" xfId="0" applyNumberFormat="1" applyFill="1" applyAlignment="1">
      <alignment horizontal="center" vertical="center" wrapText="1"/>
    </xf>
    <xf numFmtId="0" fontId="0" fillId="0" borderId="0" xfId="0" applyAlignment="1">
      <alignment horizontal="center" wrapText="1"/>
    </xf>
    <xf numFmtId="0" fontId="0" fillId="0" borderId="0" xfId="0" applyBorder="1" applyAlignment="1">
      <alignment wrapText="1"/>
    </xf>
    <xf numFmtId="0" fontId="15" fillId="0" borderId="10" xfId="0" applyFont="1" applyBorder="1" applyAlignment="1">
      <alignment horizontal="left" vertical="center"/>
    </xf>
    <xf numFmtId="0" fontId="25" fillId="0" borderId="0" xfId="46" applyFont="1" applyBorder="1" applyAlignment="1" applyProtection="1">
      <alignment horizontal="center" vertical="center"/>
    </xf>
    <xf numFmtId="0" fontId="0" fillId="0" borderId="0" xfId="0" applyFont="1" applyBorder="1" applyAlignment="1">
      <alignment horizontal="center" vertical="center"/>
    </xf>
    <xf numFmtId="0" fontId="18" fillId="0" borderId="0" xfId="0" applyFont="1" applyBorder="1" applyAlignment="1">
      <alignment horizontal="center" vertical="center"/>
    </xf>
    <xf numFmtId="0" fontId="20" fillId="0" borderId="21" xfId="0" applyFont="1" applyFill="1" applyBorder="1" applyAlignment="1">
      <alignment horizontal="left" vertical="center" wrapText="1"/>
    </xf>
    <xf numFmtId="0" fontId="25" fillId="0" borderId="0" xfId="46" applyFont="1" applyFill="1" applyBorder="1" applyAlignment="1" applyProtection="1">
      <alignment horizontal="center" vertical="center"/>
    </xf>
    <xf numFmtId="0" fontId="25" fillId="0" borderId="0" xfId="46"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0" fillId="0" borderId="0" xfId="0" applyFont="1" applyFill="1" applyBorder="1" applyAlignment="1">
      <alignment wrapText="1"/>
    </xf>
    <xf numFmtId="0" fontId="18"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Border="1" applyAlignment="1">
      <alignment horizontal="center" wrapText="1"/>
    </xf>
    <xf numFmtId="3" fontId="30" fillId="0" borderId="0" xfId="0" applyNumberFormat="1" applyFont="1"/>
    <xf numFmtId="0" fontId="0" fillId="0" borderId="21" xfId="0" applyFont="1" applyFill="1" applyBorder="1" applyAlignment="1">
      <alignment wrapText="1"/>
    </xf>
    <xf numFmtId="0" fontId="0" fillId="0" borderId="21" xfId="0" applyFont="1" applyBorder="1" applyAlignment="1">
      <alignment wrapText="1"/>
    </xf>
    <xf numFmtId="0" fontId="29" fillId="0" borderId="0" xfId="0" applyFont="1" applyBorder="1" applyAlignment="1">
      <alignment horizontal="left" vertical="center" wrapText="1"/>
    </xf>
    <xf numFmtId="0" fontId="23" fillId="0" borderId="0" xfId="0" applyFont="1" applyBorder="1" applyAlignment="1">
      <alignment horizontal="left" vertical="center"/>
    </xf>
    <xf numFmtId="0" fontId="29" fillId="0" borderId="0" xfId="0" applyFont="1" applyBorder="1" applyAlignment="1">
      <alignment horizontal="left" vertical="center"/>
    </xf>
    <xf numFmtId="0" fontId="23" fillId="0" borderId="0" xfId="0" applyFont="1" applyFill="1" applyBorder="1" applyAlignment="1">
      <alignment horizontal="left" vertical="center" wrapText="1"/>
    </xf>
    <xf numFmtId="0" fontId="29" fillId="0" borderId="0" xfId="0" applyFont="1" applyFill="1" applyBorder="1" applyAlignment="1">
      <alignment horizontal="left" vertical="center"/>
    </xf>
    <xf numFmtId="0" fontId="23" fillId="0" borderId="0" xfId="0" applyFont="1" applyBorder="1" applyAlignment="1">
      <alignment wrapText="1"/>
    </xf>
    <xf numFmtId="0" fontId="18" fillId="0" borderId="25" xfId="0" applyFont="1" applyFill="1" applyBorder="1" applyAlignment="1">
      <alignment horizontal="left" vertical="center" wrapText="1"/>
    </xf>
    <xf numFmtId="0" fontId="29" fillId="0" borderId="0" xfId="0" applyFont="1" applyFill="1" applyBorder="1" applyAlignment="1">
      <alignment vertical="center" wrapText="1"/>
    </xf>
    <xf numFmtId="0" fontId="23" fillId="0" borderId="0" xfId="0" applyFont="1" applyFill="1" applyBorder="1" applyAlignment="1">
      <alignment wrapText="1"/>
    </xf>
    <xf numFmtId="0" fontId="15" fillId="0" borderId="11" xfId="0" applyFont="1" applyBorder="1" applyAlignment="1">
      <alignment horizontal="right" vertical="center" wrapText="1"/>
    </xf>
    <xf numFmtId="3" fontId="23" fillId="0" borderId="0" xfId="0" applyNumberFormat="1" applyFont="1" applyFill="1"/>
    <xf numFmtId="3" fontId="23" fillId="0" borderId="0" xfId="0" applyNumberFormat="1" applyFont="1"/>
    <xf numFmtId="3" fontId="23" fillId="0" borderId="0" xfId="0" applyNumberFormat="1" applyFont="1" applyFill="1" applyBorder="1" applyAlignment="1">
      <alignment wrapText="1"/>
    </xf>
    <xf numFmtId="0" fontId="29" fillId="0" borderId="0" xfId="0" applyFont="1" applyAlignment="1"/>
    <xf numFmtId="3" fontId="15" fillId="0" borderId="19" xfId="0" applyNumberFormat="1" applyFont="1" applyFill="1" applyBorder="1" applyAlignment="1">
      <alignment wrapText="1"/>
    </xf>
    <xf numFmtId="0" fontId="0" fillId="0" borderId="0" xfId="0" applyFill="1" applyAlignment="1">
      <alignment wrapText="1"/>
    </xf>
    <xf numFmtId="0" fontId="23" fillId="0" borderId="0" xfId="0" applyFont="1" applyFill="1" applyBorder="1" applyAlignment="1"/>
    <xf numFmtId="0" fontId="29" fillId="0" borderId="0" xfId="0" applyFont="1" applyFill="1" applyAlignment="1"/>
    <xf numFmtId="0" fontId="0" fillId="0" borderId="0" xfId="0" applyFill="1" applyAlignment="1">
      <alignment horizontal="left" wrapText="1"/>
    </xf>
    <xf numFmtId="0" fontId="23" fillId="0" borderId="0" xfId="0" applyFont="1" applyFill="1" applyAlignment="1"/>
    <xf numFmtId="0" fontId="25" fillId="0" borderId="0" xfId="46" applyFont="1" applyAlignment="1">
      <alignment vertical="center" wrapText="1"/>
    </xf>
    <xf numFmtId="9" fontId="0" fillId="0" borderId="0" xfId="0" applyNumberFormat="1" applyFont="1" applyAlignment="1">
      <alignment horizontal="center" vertical="center" wrapText="1"/>
    </xf>
    <xf numFmtId="0" fontId="29" fillId="0" borderId="0" xfId="0" applyFont="1" applyFill="1" applyBorder="1" applyAlignment="1">
      <alignment horizontal="left" wrapText="1"/>
    </xf>
    <xf numFmtId="0" fontId="23" fillId="0" borderId="0" xfId="0" applyFont="1" applyBorder="1" applyAlignment="1">
      <alignment horizontal="left"/>
    </xf>
    <xf numFmtId="0" fontId="29" fillId="0" borderId="0" xfId="0" applyFont="1" applyAlignment="1">
      <alignment wrapText="1"/>
    </xf>
    <xf numFmtId="0" fontId="33" fillId="0" borderId="19" xfId="0" applyFont="1" applyBorder="1" applyAlignment="1">
      <alignment wrapText="1"/>
    </xf>
    <xf numFmtId="0" fontId="33" fillId="0" borderId="19" xfId="0" applyFont="1" applyBorder="1" applyAlignment="1">
      <alignment horizontal="center" wrapText="1"/>
    </xf>
    <xf numFmtId="0" fontId="35" fillId="0" borderId="0" xfId="0" applyFont="1"/>
    <xf numFmtId="0" fontId="36" fillId="0" borderId="0" xfId="0" applyFont="1" applyAlignment="1">
      <alignment wrapText="1"/>
    </xf>
    <xf numFmtId="165" fontId="35" fillId="0" borderId="0" xfId="0" applyNumberFormat="1" applyFont="1" applyAlignment="1">
      <alignment horizontal="center" wrapText="1"/>
    </xf>
    <xf numFmtId="0" fontId="35" fillId="0" borderId="0" xfId="0" applyFont="1" applyAlignment="1">
      <alignment wrapText="1"/>
    </xf>
    <xf numFmtId="0" fontId="33" fillId="0" borderId="26" xfId="0" applyFont="1" applyBorder="1" applyAlignment="1">
      <alignment wrapText="1"/>
    </xf>
    <xf numFmtId="165" fontId="35" fillId="0" borderId="18" xfId="0" applyNumberFormat="1" applyFont="1" applyBorder="1" applyAlignment="1">
      <alignment horizontal="center" wrapText="1"/>
    </xf>
    <xf numFmtId="3" fontId="35" fillId="0" borderId="0" xfId="0" applyNumberFormat="1" applyFont="1" applyBorder="1" applyAlignment="1">
      <alignment horizontal="center" wrapText="1"/>
    </xf>
    <xf numFmtId="0" fontId="33" fillId="0" borderId="0" xfId="0" applyFont="1" applyAlignment="1">
      <alignment wrapText="1"/>
    </xf>
    <xf numFmtId="0" fontId="35" fillId="0" borderId="0" xfId="0" applyFont="1" applyAlignment="1">
      <alignment horizontal="center" wrapText="1"/>
    </xf>
    <xf numFmtId="0" fontId="35" fillId="0" borderId="0" xfId="0" applyFont="1" applyFill="1" applyBorder="1" applyAlignment="1">
      <alignment wrapText="1"/>
    </xf>
    <xf numFmtId="3" fontId="35" fillId="0" borderId="0" xfId="0" applyNumberFormat="1" applyFont="1"/>
    <xf numFmtId="165" fontId="37" fillId="0" borderId="0" xfId="0" applyNumberFormat="1" applyFont="1"/>
    <xf numFmtId="0" fontId="39" fillId="0" borderId="0" xfId="0" applyFont="1" applyAlignment="1">
      <alignment wrapText="1"/>
    </xf>
    <xf numFmtId="0" fontId="40" fillId="0" borderId="0" xfId="0" applyFont="1" applyFill="1" applyAlignment="1">
      <alignment horizontal="left" vertical="center" wrapText="1"/>
    </xf>
    <xf numFmtId="0" fontId="25" fillId="0" borderId="0" xfId="46" applyBorder="1" applyAlignment="1" applyProtection="1">
      <alignment horizontal="center" vertical="center"/>
    </xf>
    <xf numFmtId="3" fontId="13" fillId="0" borderId="0" xfId="0" applyNumberFormat="1" applyFont="1"/>
    <xf numFmtId="0" fontId="18" fillId="0" borderId="0" xfId="0" applyFont="1" applyBorder="1" applyAlignment="1">
      <alignment horizontal="right" vertical="center" wrapText="1"/>
    </xf>
    <xf numFmtId="0" fontId="0" fillId="0" borderId="0" xfId="0" quotePrefix="1" applyAlignment="1">
      <alignment horizontal="right" vertical="center" wrapText="1"/>
    </xf>
    <xf numFmtId="3" fontId="23" fillId="0" borderId="0" xfId="0" applyNumberFormat="1" applyFont="1" applyFill="1" applyBorder="1" applyAlignment="1"/>
    <xf numFmtId="3" fontId="15" fillId="0" borderId="22" xfId="0" applyNumberFormat="1" applyFont="1" applyBorder="1"/>
    <xf numFmtId="3" fontId="35" fillId="0" borderId="0" xfId="0" applyNumberFormat="1" applyFont="1" applyAlignment="1">
      <alignment horizontal="center" wrapText="1"/>
    </xf>
    <xf numFmtId="3" fontId="35" fillId="0" borderId="18" xfId="0" applyNumberFormat="1" applyFont="1" applyBorder="1" applyAlignment="1">
      <alignment horizontal="center" wrapText="1"/>
    </xf>
    <xf numFmtId="9" fontId="0" fillId="0" borderId="0" xfId="0" applyNumberFormat="1" applyFont="1" applyFill="1" applyBorder="1" applyAlignment="1">
      <alignment horizontal="center" vertical="center"/>
    </xf>
    <xf numFmtId="0" fontId="0" fillId="0" borderId="0" xfId="0" applyBorder="1" applyAlignment="1">
      <alignment horizontal="right" vertical="center" wrapText="1"/>
    </xf>
    <xf numFmtId="0" fontId="23" fillId="0" borderId="0" xfId="0" applyFont="1"/>
    <xf numFmtId="4" fontId="0" fillId="0" borderId="0" xfId="0" applyNumberFormat="1"/>
    <xf numFmtId="0" fontId="43" fillId="0" borderId="0" xfId="46" applyFont="1" applyAlignment="1">
      <alignment vertical="center" wrapText="1"/>
    </xf>
    <xf numFmtId="165" fontId="35" fillId="0" borderId="22" xfId="0" applyNumberFormat="1" applyFont="1" applyBorder="1" applyAlignment="1">
      <alignment horizontal="center" wrapText="1"/>
    </xf>
    <xf numFmtId="0" fontId="0" fillId="0" borderId="0" xfId="0"/>
    <xf numFmtId="3" fontId="0" fillId="0" borderId="0" xfId="0" applyNumberFormat="1" applyFill="1" applyBorder="1" applyAlignment="1">
      <alignment horizontal="center"/>
    </xf>
    <xf numFmtId="3" fontId="0" fillId="0" borderId="14" xfId="0" applyNumberFormat="1" applyBorder="1" applyAlignment="1">
      <alignment horizontal="center"/>
    </xf>
    <xf numFmtId="3" fontId="0" fillId="0" borderId="16" xfId="0" applyNumberFormat="1" applyBorder="1" applyAlignment="1">
      <alignment horizontal="center"/>
    </xf>
    <xf numFmtId="167" fontId="0" fillId="0" borderId="0" xfId="0" applyNumberFormat="1"/>
    <xf numFmtId="165" fontId="35" fillId="0" borderId="0" xfId="0" applyNumberFormat="1" applyFont="1" applyAlignment="1">
      <alignment wrapText="1"/>
    </xf>
    <xf numFmtId="0" fontId="25" fillId="0" borderId="0" xfId="46" applyFill="1" applyBorder="1" applyAlignment="1">
      <alignment horizontal="left" vertical="center" wrapText="1"/>
    </xf>
    <xf numFmtId="166" fontId="21" fillId="0" borderId="10" xfId="0" applyNumberFormat="1" applyFont="1" applyFill="1" applyBorder="1" applyAlignment="1">
      <alignment horizontal="left" vertical="center" wrapText="1"/>
    </xf>
    <xf numFmtId="166" fontId="0" fillId="0" borderId="0" xfId="0" applyNumberFormat="1" applyAlignment="1">
      <alignment wrapText="1"/>
    </xf>
    <xf numFmtId="166" fontId="15" fillId="0" borderId="12" xfId="0" applyNumberFormat="1" applyFont="1" applyBorder="1" applyAlignment="1">
      <alignment wrapText="1"/>
    </xf>
    <xf numFmtId="0" fontId="29" fillId="0" borderId="0" xfId="0" applyFont="1" applyAlignment="1">
      <alignment vertical="center" wrapText="1"/>
    </xf>
    <xf numFmtId="0" fontId="23" fillId="0" borderId="0" xfId="0" applyFont="1" applyFill="1" applyAlignment="1">
      <alignment vertical="center" wrapText="1"/>
    </xf>
    <xf numFmtId="0" fontId="29" fillId="0" borderId="0" xfId="0" applyFont="1" applyFill="1" applyAlignment="1">
      <alignment vertical="center" wrapText="1"/>
    </xf>
    <xf numFmtId="0" fontId="18" fillId="0" borderId="0" xfId="0" applyFont="1"/>
    <xf numFmtId="168" fontId="18" fillId="0" borderId="0" xfId="0" applyNumberFormat="1" applyFont="1"/>
    <xf numFmtId="3" fontId="15" fillId="0" borderId="0" xfId="0" applyNumberFormat="1" applyFont="1" applyAlignment="1">
      <alignment horizontal="center" vertical="center" wrapText="1"/>
    </xf>
    <xf numFmtId="9" fontId="18" fillId="0" borderId="0" xfId="0" quotePrefix="1" applyNumberFormat="1" applyFont="1" applyFill="1" applyAlignment="1">
      <alignment horizontal="center" vertical="center" wrapText="1"/>
    </xf>
    <xf numFmtId="9" fontId="18" fillId="33" borderId="0" xfId="0" applyNumberFormat="1" applyFont="1" applyFill="1" applyAlignment="1">
      <alignment horizontal="center" vertical="center" wrapText="1"/>
    </xf>
    <xf numFmtId="0" fontId="0" fillId="0" borderId="0" xfId="0" applyFont="1" applyAlignment="1">
      <alignment horizontal="left" vertical="center" wrapText="1"/>
    </xf>
    <xf numFmtId="0" fontId="25" fillId="0" borderId="0" xfId="46" applyFont="1" applyFill="1" applyAlignment="1">
      <alignment vertical="center" wrapText="1"/>
    </xf>
    <xf numFmtId="3" fontId="15" fillId="0" borderId="0" xfId="0" applyNumberFormat="1" applyFont="1" applyFill="1" applyAlignment="1">
      <alignment horizontal="center" vertical="center" wrapText="1"/>
    </xf>
    <xf numFmtId="9" fontId="19" fillId="0" borderId="0" xfId="0" applyNumberFormat="1" applyFont="1" applyFill="1" applyAlignment="1">
      <alignment horizontal="center" vertical="center" wrapText="1"/>
    </xf>
    <xf numFmtId="0" fontId="0" fillId="0" borderId="0" xfId="0" applyFont="1" applyFill="1" applyAlignment="1">
      <alignment horizontal="right" vertical="center" wrapText="1"/>
    </xf>
    <xf numFmtId="0" fontId="18" fillId="0" borderId="0" xfId="0" applyNumberFormat="1" applyFont="1" applyAlignment="1">
      <alignment horizontal="center" vertical="center" wrapText="1"/>
    </xf>
    <xf numFmtId="3" fontId="18" fillId="0" borderId="15" xfId="0" applyNumberFormat="1" applyFont="1" applyBorder="1" applyAlignment="1">
      <alignment horizontal="center"/>
    </xf>
    <xf numFmtId="9" fontId="18" fillId="0" borderId="14" xfId="0" applyNumberFormat="1" applyFont="1" applyFill="1" applyBorder="1" applyAlignment="1">
      <alignment horizontal="center"/>
    </xf>
    <xf numFmtId="0" fontId="18" fillId="0" borderId="14" xfId="0" applyFont="1" applyFill="1" applyBorder="1" applyAlignment="1">
      <alignment horizontal="center"/>
    </xf>
    <xf numFmtId="3" fontId="18" fillId="0" borderId="15" xfId="0" applyNumberFormat="1" applyFont="1" applyFill="1" applyBorder="1" applyAlignment="1">
      <alignment horizontal="center"/>
    </xf>
    <xf numFmtId="0" fontId="15" fillId="0" borderId="10" xfId="0" applyFont="1" applyBorder="1" applyAlignment="1">
      <alignment vertical="center" wrapText="1"/>
    </xf>
    <xf numFmtId="0" fontId="25" fillId="0" borderId="0" xfId="46" applyFill="1" applyAlignment="1">
      <alignment vertical="center" wrapText="1"/>
    </xf>
    <xf numFmtId="0" fontId="0" fillId="0" borderId="0" xfId="0" applyAlignment="1">
      <alignment vertical="center"/>
    </xf>
    <xf numFmtId="0" fontId="24" fillId="0" borderId="14" xfId="0" applyFont="1" applyFill="1" applyBorder="1" applyAlignment="1">
      <alignment horizontal="center" wrapText="1"/>
    </xf>
    <xf numFmtId="3" fontId="18" fillId="0" borderId="23" xfId="0" applyNumberFormat="1" applyFont="1" applyBorder="1" applyAlignment="1">
      <alignment horizontal="center"/>
    </xf>
    <xf numFmtId="3" fontId="18" fillId="0" borderId="24" xfId="0" applyNumberFormat="1" applyFont="1" applyBorder="1" applyAlignment="1">
      <alignment horizontal="center"/>
    </xf>
    <xf numFmtId="3" fontId="18" fillId="0" borderId="0" xfId="0" applyNumberFormat="1" applyFont="1" applyFill="1" applyBorder="1" applyAlignment="1">
      <alignment horizontal="center"/>
    </xf>
    <xf numFmtId="3" fontId="18" fillId="0" borderId="0" xfId="0" applyNumberFormat="1" applyFont="1"/>
    <xf numFmtId="3" fontId="0" fillId="0" borderId="14" xfId="0" applyNumberFormat="1" applyFont="1" applyFill="1" applyBorder="1" applyAlignment="1">
      <alignment horizontal="center"/>
    </xf>
    <xf numFmtId="3" fontId="0" fillId="0" borderId="14" xfId="0" applyNumberFormat="1" applyFill="1" applyBorder="1" applyAlignment="1">
      <alignment horizontal="center"/>
    </xf>
    <xf numFmtId="0" fontId="0" fillId="0" borderId="23" xfId="0" applyFont="1" applyFill="1" applyBorder="1" applyAlignment="1"/>
    <xf numFmtId="0" fontId="0" fillId="0" borderId="24" xfId="0" applyFont="1" applyFill="1" applyBorder="1" applyAlignment="1"/>
    <xf numFmtId="0" fontId="25" fillId="0" borderId="0" xfId="46" applyFont="1" applyAlignment="1">
      <alignment horizontal="left" vertical="center" wrapText="1"/>
    </xf>
    <xf numFmtId="0" fontId="18" fillId="0" borderId="14" xfId="0" applyNumberFormat="1" applyFont="1" applyFill="1" applyBorder="1" applyAlignment="1">
      <alignment horizontal="center" vertical="center" wrapText="1"/>
    </xf>
    <xf numFmtId="0" fontId="29" fillId="33" borderId="0" xfId="0" applyFont="1" applyFill="1" applyAlignment="1">
      <alignment horizontal="left" vertical="center" wrapText="1"/>
    </xf>
    <xf numFmtId="0" fontId="39" fillId="0" borderId="0" xfId="0" applyFont="1" applyAlignment="1">
      <alignment horizontal="left" vertical="center" wrapText="1"/>
    </xf>
    <xf numFmtId="0" fontId="0" fillId="0" borderId="0" xfId="0" applyFill="1" applyBorder="1" applyAlignment="1"/>
    <xf numFmtId="0" fontId="38" fillId="0" borderId="0" xfId="0" applyFont="1"/>
    <xf numFmtId="0" fontId="1" fillId="0" borderId="0" xfId="0" applyFont="1"/>
    <xf numFmtId="0" fontId="1" fillId="0" borderId="0" xfId="0" applyFont="1" applyAlignment="1">
      <alignment horizontal="left" vertical="center" wrapText="1"/>
    </xf>
    <xf numFmtId="0" fontId="18" fillId="0" borderId="0" xfId="0" applyFont="1" applyFill="1"/>
    <xf numFmtId="0" fontId="18" fillId="0" borderId="0" xfId="0" applyFont="1" applyFill="1" applyAlignment="1">
      <alignment vertical="center" wrapText="1"/>
    </xf>
    <xf numFmtId="0" fontId="18" fillId="0" borderId="0" xfId="0" applyFont="1" applyFill="1" applyAlignment="1"/>
    <xf numFmtId="0" fontId="24" fillId="0" borderId="19" xfId="0" applyFont="1" applyFill="1" applyBorder="1" applyAlignment="1">
      <alignment wrapText="1"/>
    </xf>
    <xf numFmtId="0" fontId="22" fillId="0" borderId="19" xfId="0" applyFont="1" applyBorder="1" applyAlignment="1">
      <alignment wrapText="1"/>
    </xf>
    <xf numFmtId="3" fontId="29" fillId="0" borderId="0" xfId="0" applyNumberFormat="1" applyFont="1" applyFill="1"/>
    <xf numFmtId="0" fontId="29" fillId="0" borderId="0" xfId="0" applyFont="1" applyFill="1" applyBorder="1" applyAlignment="1" applyProtection="1">
      <alignment wrapText="1"/>
      <protection locked="0"/>
    </xf>
    <xf numFmtId="0" fontId="23" fillId="0" borderId="0" xfId="0" applyFont="1" applyFill="1" applyAlignment="1" applyProtection="1">
      <alignment wrapText="1"/>
      <protection locked="0"/>
    </xf>
    <xf numFmtId="0" fontId="0" fillId="0" borderId="0" xfId="0" applyProtection="1">
      <protection locked="0"/>
    </xf>
    <xf numFmtId="3" fontId="0" fillId="0" borderId="0" xfId="0" applyNumberFormat="1" applyProtection="1">
      <protection locked="0"/>
    </xf>
    <xf numFmtId="3" fontId="23" fillId="0" borderId="0" xfId="0" applyNumberFormat="1" applyFont="1" applyFill="1" applyProtection="1">
      <protection locked="0"/>
    </xf>
    <xf numFmtId="0" fontId="15" fillId="0" borderId="0" xfId="0" applyFont="1" applyAlignment="1">
      <alignment horizontal="right" wrapText="1"/>
    </xf>
    <xf numFmtId="0" fontId="18" fillId="0" borderId="2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24" fillId="0" borderId="10" xfId="0" applyFont="1" applyBorder="1" applyAlignment="1">
      <alignment vertical="center" wrapText="1"/>
    </xf>
    <xf numFmtId="0" fontId="24" fillId="0" borderId="10" xfId="0" applyFont="1" applyBorder="1" applyAlignment="1">
      <alignment horizontal="center" vertical="center" wrapText="1"/>
    </xf>
    <xf numFmtId="0" fontId="24" fillId="0" borderId="10" xfId="0" applyFont="1" applyBorder="1" applyAlignment="1">
      <alignment horizontal="right" vertical="center" wrapText="1"/>
    </xf>
    <xf numFmtId="0" fontId="0" fillId="0" borderId="0" xfId="0" applyBorder="1" applyAlignment="1">
      <alignment vertical="center"/>
    </xf>
    <xf numFmtId="0" fontId="29" fillId="0" borderId="0" xfId="0" applyFont="1" applyBorder="1" applyAlignment="1">
      <alignment vertical="center" wrapText="1"/>
    </xf>
    <xf numFmtId="0" fontId="0" fillId="0" borderId="0" xfId="0" applyFont="1" applyFill="1" applyBorder="1" applyAlignment="1">
      <alignment vertical="center"/>
    </xf>
    <xf numFmtId="0" fontId="23" fillId="0" borderId="0" xfId="0" applyFont="1" applyAlignment="1">
      <alignment vertical="center" wrapText="1"/>
    </xf>
    <xf numFmtId="0" fontId="29" fillId="35" borderId="0" xfId="0" applyFont="1" applyFill="1" applyAlignment="1">
      <alignment vertical="center" wrapText="1"/>
    </xf>
    <xf numFmtId="3" fontId="0" fillId="0" borderId="0" xfId="0" applyNumberFormat="1" applyAlignment="1">
      <alignment vertical="center" wrapText="1"/>
    </xf>
    <xf numFmtId="0" fontId="0" fillId="0" borderId="0" xfId="0" applyBorder="1" applyAlignment="1">
      <alignment vertical="center" wrapText="1"/>
    </xf>
    <xf numFmtId="3" fontId="15" fillId="0" borderId="0" xfId="0" applyNumberFormat="1" applyFont="1" applyBorder="1" applyAlignment="1">
      <alignment horizontal="center" vertical="center" wrapText="1"/>
    </xf>
    <xf numFmtId="3" fontId="15" fillId="0" borderId="12" xfId="0" applyNumberFormat="1" applyFont="1" applyBorder="1" applyAlignment="1">
      <alignment horizontal="center" vertical="center" wrapText="1"/>
    </xf>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0" xfId="0" applyFont="1" applyAlignment="1">
      <alignment wrapText="1"/>
    </xf>
    <xf numFmtId="3" fontId="24" fillId="0" borderId="0" xfId="0" applyNumberFormat="1" applyFont="1" applyFill="1" applyBorder="1" applyAlignment="1">
      <alignment horizontal="center"/>
    </xf>
    <xf numFmtId="0" fontId="18" fillId="0" borderId="14" xfId="0" applyFont="1" applyFill="1" applyBorder="1"/>
    <xf numFmtId="3" fontId="18" fillId="0" borderId="0" xfId="0" applyNumberFormat="1" applyFont="1" applyFill="1" applyBorder="1"/>
    <xf numFmtId="165" fontId="18" fillId="0" borderId="14" xfId="0" applyNumberFormat="1" applyFont="1" applyFill="1" applyBorder="1" applyAlignment="1">
      <alignment horizontal="center"/>
    </xf>
    <xf numFmtId="9" fontId="18" fillId="0" borderId="16" xfId="0" applyNumberFormat="1" applyFont="1" applyFill="1" applyBorder="1" applyAlignment="1">
      <alignment horizontal="center"/>
    </xf>
    <xf numFmtId="3" fontId="18" fillId="0" borderId="10" xfId="0" applyNumberFormat="1" applyFont="1" applyFill="1" applyBorder="1" applyAlignment="1">
      <alignment horizontal="center"/>
    </xf>
    <xf numFmtId="3" fontId="18" fillId="0" borderId="17" xfId="0" applyNumberFormat="1" applyFont="1" applyFill="1" applyBorder="1" applyAlignment="1">
      <alignment horizontal="center"/>
    </xf>
    <xf numFmtId="3" fontId="18" fillId="0" borderId="0" xfId="0" applyNumberFormat="1" applyFont="1" applyFill="1"/>
    <xf numFmtId="3" fontId="18" fillId="0" borderId="0" xfId="0" applyNumberFormat="1" applyFont="1" applyFill="1" applyAlignment="1">
      <alignment horizontal="center"/>
    </xf>
    <xf numFmtId="0" fontId="44" fillId="0" borderId="22" xfId="0" applyFont="1" applyFill="1" applyBorder="1" applyAlignment="1">
      <alignment horizontal="left" vertical="center" wrapText="1"/>
    </xf>
    <xf numFmtId="3" fontId="24" fillId="0" borderId="13"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xf>
    <xf numFmtId="3" fontId="24" fillId="0" borderId="12" xfId="0" applyNumberFormat="1" applyFont="1" applyFill="1" applyBorder="1" applyAlignment="1">
      <alignment horizontal="center" vertical="center" wrapText="1"/>
    </xf>
    <xf numFmtId="3" fontId="24" fillId="0" borderId="22" xfId="0" applyNumberFormat="1" applyFont="1" applyBorder="1" applyAlignment="1">
      <alignment horizontal="center" vertical="center" wrapText="1"/>
    </xf>
    <xf numFmtId="3" fontId="15" fillId="0" borderId="11" xfId="0" applyNumberFormat="1" applyFont="1" applyFill="1" applyBorder="1" applyAlignment="1">
      <alignment horizontal="center" vertical="center" wrapText="1"/>
    </xf>
    <xf numFmtId="3" fontId="15" fillId="0" borderId="13" xfId="0" applyNumberFormat="1" applyFont="1" applyFill="1" applyBorder="1" applyAlignment="1">
      <alignment horizontal="center" vertical="center" wrapText="1"/>
    </xf>
    <xf numFmtId="3" fontId="0" fillId="0" borderId="16" xfId="0" applyNumberFormat="1" applyFill="1" applyBorder="1" applyAlignment="1">
      <alignment horizontal="center"/>
    </xf>
    <xf numFmtId="3" fontId="0" fillId="0" borderId="10" xfId="0" applyNumberFormat="1" applyFill="1" applyBorder="1" applyAlignment="1">
      <alignment horizontal="center"/>
    </xf>
    <xf numFmtId="3" fontId="0" fillId="0" borderId="0" xfId="0" applyNumberFormat="1" applyFill="1"/>
    <xf numFmtId="3" fontId="15" fillId="0" borderId="11" xfId="0" applyNumberFormat="1" applyFont="1" applyBorder="1" applyAlignment="1">
      <alignment horizontal="center" vertical="center" wrapText="1"/>
    </xf>
    <xf numFmtId="3" fontId="24" fillId="0" borderId="12" xfId="0" applyNumberFormat="1" applyFont="1" applyBorder="1" applyAlignment="1">
      <alignment horizontal="center" vertical="center" wrapText="1"/>
    </xf>
    <xf numFmtId="165" fontId="15" fillId="0" borderId="12" xfId="0" applyNumberFormat="1" applyFont="1" applyFill="1" applyBorder="1" applyAlignment="1">
      <alignment horizontal="center" vertical="center" wrapText="1"/>
    </xf>
    <xf numFmtId="165" fontId="0" fillId="0" borderId="15" xfId="0" applyNumberFormat="1" applyBorder="1" applyAlignment="1">
      <alignment horizontal="center"/>
    </xf>
    <xf numFmtId="165" fontId="0" fillId="0" borderId="17" xfId="0" applyNumberFormat="1" applyBorder="1" applyAlignment="1">
      <alignment horizontal="center"/>
    </xf>
    <xf numFmtId="165" fontId="0" fillId="0" borderId="0" xfId="0" applyNumberFormat="1"/>
    <xf numFmtId="165" fontId="24" fillId="0" borderId="22" xfId="0" applyNumberFormat="1" applyFont="1" applyBorder="1" applyAlignment="1">
      <alignment horizontal="center" vertical="center" wrapText="1"/>
    </xf>
    <xf numFmtId="165" fontId="18" fillId="0" borderId="23" xfId="0" applyNumberFormat="1" applyFont="1" applyBorder="1" applyAlignment="1">
      <alignment horizontal="center"/>
    </xf>
    <xf numFmtId="165" fontId="18" fillId="0" borderId="24" xfId="0" applyNumberFormat="1" applyFont="1" applyBorder="1" applyAlignment="1">
      <alignment horizontal="center"/>
    </xf>
    <xf numFmtId="165" fontId="18" fillId="0" borderId="0" xfId="0" applyNumberFormat="1" applyFont="1"/>
    <xf numFmtId="167" fontId="23" fillId="0" borderId="0" xfId="0" applyNumberFormat="1" applyFont="1" applyAlignment="1">
      <alignment wrapText="1"/>
    </xf>
    <xf numFmtId="0" fontId="25" fillId="0" borderId="0" xfId="46" applyFill="1" applyBorder="1" applyAlignment="1">
      <alignment vertical="center" wrapText="1"/>
    </xf>
    <xf numFmtId="0" fontId="23" fillId="0" borderId="0" xfId="0" applyFont="1" applyFill="1" applyBorder="1" applyAlignment="1">
      <alignment horizontal="left" vertical="center"/>
    </xf>
    <xf numFmtId="0" fontId="23" fillId="0" borderId="27" xfId="0" applyFont="1" applyBorder="1" applyAlignment="1">
      <alignment horizontal="left" vertical="center"/>
    </xf>
    <xf numFmtId="0" fontId="20" fillId="0" borderId="27" xfId="0" applyFont="1" applyFill="1" applyBorder="1" applyAlignment="1">
      <alignment horizontal="left" vertical="center" wrapText="1"/>
    </xf>
    <xf numFmtId="0" fontId="25" fillId="0" borderId="27" xfId="46" applyFont="1" applyBorder="1" applyAlignment="1" applyProtection="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left" vertical="center" wrapText="1"/>
    </xf>
    <xf numFmtId="0" fontId="0" fillId="0" borderId="27" xfId="0" applyBorder="1" applyAlignment="1">
      <alignment wrapText="1"/>
    </xf>
    <xf numFmtId="3" fontId="18" fillId="36" borderId="15" xfId="0" applyNumberFormat="1" applyFont="1" applyFill="1" applyBorder="1" applyAlignment="1">
      <alignment horizontal="center"/>
    </xf>
    <xf numFmtId="0" fontId="23" fillId="36" borderId="0" xfId="0" applyFont="1" applyFill="1" applyBorder="1" applyAlignment="1">
      <alignment horizontal="left" vertical="center"/>
    </xf>
    <xf numFmtId="0" fontId="23" fillId="36" borderId="0" xfId="0" applyFont="1" applyFill="1" applyBorder="1" applyAlignment="1"/>
    <xf numFmtId="0" fontId="25" fillId="0" borderId="0" xfId="46" applyAlignment="1">
      <alignment horizontal="center" wrapText="1"/>
    </xf>
    <xf numFmtId="0" fontId="13" fillId="0" borderId="0" xfId="0" applyFont="1" applyFill="1" applyAlignment="1">
      <alignment horizontal="left" wrapText="1"/>
    </xf>
    <xf numFmtId="169" fontId="18" fillId="0" borderId="15" xfId="0" applyNumberFormat="1" applyFont="1" applyBorder="1" applyAlignment="1">
      <alignment horizontal="center"/>
    </xf>
    <xf numFmtId="3" fontId="18" fillId="0" borderId="0" xfId="0" applyNumberFormat="1" applyFont="1" applyBorder="1" applyAlignment="1">
      <alignment horizontal="left" vertical="center" wrapText="1"/>
    </xf>
    <xf numFmtId="3" fontId="18" fillId="0" borderId="0" xfId="0" applyNumberFormat="1" applyFont="1" applyFill="1" applyBorder="1" applyAlignment="1">
      <alignment horizontal="left" vertical="center" wrapText="1"/>
    </xf>
    <xf numFmtId="3" fontId="0" fillId="0" borderId="0" xfId="0" applyNumberFormat="1" applyFill="1" applyBorder="1" applyAlignment="1">
      <alignment horizontal="left" wrapText="1"/>
    </xf>
    <xf numFmtId="3" fontId="18" fillId="0" borderId="0" xfId="0" applyNumberFormat="1" applyFont="1" applyFill="1" applyBorder="1" applyAlignment="1">
      <alignment horizontal="left" vertical="center"/>
    </xf>
    <xf numFmtId="3" fontId="18" fillId="0" borderId="20" xfId="0" applyNumberFormat="1" applyFont="1" applyFill="1" applyBorder="1" applyAlignment="1">
      <alignment horizontal="left" vertical="center" wrapText="1"/>
    </xf>
    <xf numFmtId="3" fontId="0" fillId="0" borderId="0" xfId="0" applyNumberFormat="1" applyFont="1" applyFill="1" applyBorder="1" applyAlignment="1">
      <alignment horizontal="left"/>
    </xf>
    <xf numFmtId="3" fontId="18" fillId="0" borderId="20" xfId="0" applyNumberFormat="1" applyFont="1" applyBorder="1" applyAlignment="1">
      <alignment horizontal="left" vertical="center" wrapText="1"/>
    </xf>
    <xf numFmtId="3" fontId="0" fillId="0" borderId="0" xfId="0" applyNumberFormat="1" applyFill="1" applyAlignment="1">
      <alignment horizontal="left" wrapText="1"/>
    </xf>
    <xf numFmtId="3" fontId="0" fillId="0" borderId="20" xfId="0" applyNumberFormat="1" applyFill="1" applyBorder="1" applyAlignment="1">
      <alignment horizontal="left" wrapText="1"/>
    </xf>
    <xf numFmtId="3" fontId="0" fillId="0" borderId="20" xfId="0" applyNumberFormat="1" applyBorder="1" applyAlignment="1">
      <alignment horizontal="left" wrapText="1"/>
    </xf>
    <xf numFmtId="3" fontId="18" fillId="0" borderId="28" xfId="0" applyNumberFormat="1" applyFont="1" applyBorder="1" applyAlignment="1">
      <alignment horizontal="left" vertical="center" wrapText="1"/>
    </xf>
    <xf numFmtId="169" fontId="18" fillId="0" borderId="15" xfId="0" applyNumberFormat="1" applyFont="1" applyFill="1" applyBorder="1" applyAlignment="1">
      <alignment horizontal="center"/>
    </xf>
    <xf numFmtId="169" fontId="18" fillId="0" borderId="17" xfId="0" applyNumberFormat="1" applyFont="1" applyBorder="1" applyAlignment="1">
      <alignment horizontal="center"/>
    </xf>
    <xf numFmtId="0" fontId="25" fillId="0" borderId="0" xfId="46" applyFill="1" applyBorder="1" applyAlignment="1" applyProtection="1">
      <alignment horizontal="center" vertical="center"/>
    </xf>
    <xf numFmtId="0" fontId="0" fillId="0" borderId="0" xfId="0" applyAlignment="1"/>
    <xf numFmtId="0" fontId="0" fillId="0" borderId="0" xfId="0" applyFill="1" applyAlignment="1"/>
    <xf numFmtId="0" fontId="0" fillId="0" borderId="0" xfId="0" applyFill="1" applyAlignment="1">
      <alignment horizontal="center"/>
    </xf>
    <xf numFmtId="0" fontId="18"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ill="1" applyBorder="1" applyAlignment="1">
      <alignment horizontal="center"/>
    </xf>
    <xf numFmtId="0" fontId="0" fillId="0" borderId="27" xfId="0" applyBorder="1" applyAlignment="1"/>
    <xf numFmtId="0" fontId="0" fillId="0" borderId="27" xfId="0" applyFill="1" applyBorder="1" applyAlignment="1">
      <alignment wrapText="1"/>
    </xf>
    <xf numFmtId="4" fontId="13" fillId="33" borderId="0" xfId="0" applyNumberFormat="1" applyFont="1" applyFill="1" applyAlignment="1"/>
    <xf numFmtId="4" fontId="0" fillId="0" borderId="0" xfId="0" applyNumberFormat="1" applyFill="1" applyAlignment="1"/>
    <xf numFmtId="4" fontId="46" fillId="0" borderId="0" xfId="0" applyNumberFormat="1" applyFont="1" applyFill="1" applyAlignment="1"/>
    <xf numFmtId="0" fontId="46" fillId="0" borderId="0" xfId="0" applyFont="1" applyFill="1" applyAlignment="1"/>
    <xf numFmtId="4" fontId="13" fillId="0" borderId="0" xfId="0" applyNumberFormat="1" applyFont="1" applyFill="1" applyAlignment="1"/>
    <xf numFmtId="0" fontId="13" fillId="0" borderId="0" xfId="0" applyFont="1" applyFill="1" applyAlignment="1"/>
    <xf numFmtId="4" fontId="0" fillId="0" borderId="0" xfId="0" applyNumberFormat="1" applyFill="1" applyBorder="1" applyAlignment="1"/>
    <xf numFmtId="4" fontId="18" fillId="0" borderId="0" xfId="0" applyNumberFormat="1" applyFont="1" applyFill="1" applyAlignment="1"/>
    <xf numFmtId="0" fontId="15" fillId="0" borderId="0" xfId="0" applyFont="1" applyFill="1" applyBorder="1" applyAlignment="1"/>
    <xf numFmtId="0" fontId="15" fillId="0" borderId="0" xfId="0" applyFont="1" applyFill="1" applyBorder="1" applyAlignment="1">
      <alignment horizontal="center"/>
    </xf>
    <xf numFmtId="4" fontId="15" fillId="0" borderId="0" xfId="0" applyNumberFormat="1" applyFont="1" applyFill="1" applyBorder="1" applyAlignment="1"/>
  </cellXfs>
  <cellStyles count="48">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6" builtinId="27" customBuiltin="1"/>
    <cellStyle name="Calculation" xfId="10" builtinId="22" customBuiltin="1"/>
    <cellStyle name="Check Cell" xfId="12" builtinId="23" customBuiltin="1"/>
    <cellStyle name="Comma 2" xfId="43"/>
    <cellStyle name="Comma 3" xfId="44"/>
    <cellStyle name="Comma 4" xfId="45"/>
    <cellStyle name="Explanatory Text" xfId="15"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6" builtinId="8"/>
    <cellStyle name="Input" xfId="8" builtinId="20" customBuiltin="1"/>
    <cellStyle name="Linked Cell" xfId="11" builtinId="24" customBuiltin="1"/>
    <cellStyle name="Neutral" xfId="7" builtinId="28" customBuiltin="1"/>
    <cellStyle name="Normal" xfId="0" builtinId="0"/>
    <cellStyle name="Normal 2" xfId="42"/>
    <cellStyle name="Note" xfId="14" builtinId="10" customBuiltin="1"/>
    <cellStyle name="Output" xfId="9" builtinId="21" customBuiltin="1"/>
    <cellStyle name="Title" xfId="47" builtinId="15" customBuiltin="1"/>
    <cellStyle name="Title 2" xfId="41"/>
    <cellStyle name="Total" xfId="16" builtinId="25" customBuiltin="1"/>
    <cellStyle name="Warning Text" xfId="13" builtinId="11" customBuiltin="1"/>
  </cellStyles>
  <dxfs count="34">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172227780919649E-2"/>
          <c:y val="0.28140698568837441"/>
          <c:w val="0.92038645031249544"/>
          <c:h val="0.60669285065874412"/>
        </c:manualLayout>
      </c:layout>
      <c:barChart>
        <c:barDir val="bar"/>
        <c:grouping val="stacked"/>
        <c:varyColors val="0"/>
        <c:ser>
          <c:idx val="0"/>
          <c:order val="0"/>
          <c:tx>
            <c:strRef>
              <c:f>Summary!$A$7</c:f>
              <c:strCache>
                <c:ptCount val="1"/>
                <c:pt idx="0">
                  <c:v>Current Status (January 2019)</c:v>
                </c:pt>
              </c:strCache>
            </c:strRef>
          </c:tx>
          <c:spPr>
            <a:solidFill>
              <a:srgbClr val="00B050"/>
            </a:solidFill>
          </c:spPr>
          <c:invertIfNegative val="0"/>
          <c:val>
            <c:numRef>
              <c:f>Summary!$C$7</c:f>
              <c:numCache>
                <c:formatCode>0.0%</c:formatCode>
                <c:ptCount val="1"/>
                <c:pt idx="0">
                  <c:v>0.14885107414016183</c:v>
                </c:pt>
              </c:numCache>
            </c:numRef>
          </c:val>
          <c:extLst xmlns:c16r2="http://schemas.microsoft.com/office/drawing/2015/06/chart">
            <c:ext xmlns:c16="http://schemas.microsoft.com/office/drawing/2014/chart" uri="{C3380CC4-5D6E-409C-BE32-E72D297353CC}">
              <c16:uniqueId val="{00000000-45D9-4182-B4F9-612F236A8AE3}"/>
            </c:ext>
          </c:extLst>
        </c:ser>
        <c:ser>
          <c:idx val="1"/>
          <c:order val="1"/>
          <c:tx>
            <c:strRef>
              <c:f>Summary!$A$2</c:f>
              <c:strCache>
                <c:ptCount val="1"/>
                <c:pt idx="0">
                  <c:v>National priority actions</c:v>
                </c:pt>
              </c:strCache>
            </c:strRef>
          </c:tx>
          <c:spPr>
            <a:pattFill prst="dkUpDiag">
              <a:fgClr>
                <a:schemeClr val="accent2">
                  <a:lumMod val="75000"/>
                </a:schemeClr>
              </a:fgClr>
              <a:bgClr>
                <a:schemeClr val="bg1"/>
              </a:bgClr>
            </a:pattFill>
          </c:spPr>
          <c:invertIfNegative val="0"/>
          <c:val>
            <c:numRef>
              <c:f>Summary!$C$2</c:f>
              <c:numCache>
                <c:formatCode>0.0%</c:formatCode>
                <c:ptCount val="1"/>
                <c:pt idx="0">
                  <c:v>4.8976793327903893E-3</c:v>
                </c:pt>
              </c:numCache>
            </c:numRef>
          </c:val>
          <c:extLst xmlns:c16r2="http://schemas.microsoft.com/office/drawing/2015/06/chart">
            <c:ext xmlns:c16="http://schemas.microsoft.com/office/drawing/2014/chart" uri="{C3380CC4-5D6E-409C-BE32-E72D297353CC}">
              <c16:uniqueId val="{00000001-45D9-4182-B4F9-612F236A8AE3}"/>
            </c:ext>
          </c:extLst>
        </c:ser>
        <c:ser>
          <c:idx val="2"/>
          <c:order val="2"/>
          <c:tx>
            <c:strRef>
              <c:f>Summary!$A$3</c:f>
              <c:strCache>
                <c:ptCount val="1"/>
                <c:pt idx="0">
                  <c:v>Approved GEF-5/GEF-6 projects </c:v>
                </c:pt>
              </c:strCache>
            </c:strRef>
          </c:tx>
          <c:spPr>
            <a:pattFill prst="dkDnDiag">
              <a:fgClr>
                <a:schemeClr val="accent5">
                  <a:lumMod val="60000"/>
                  <a:lumOff val="40000"/>
                </a:schemeClr>
              </a:fgClr>
              <a:bgClr>
                <a:schemeClr val="bg1"/>
              </a:bgClr>
            </a:pattFill>
          </c:spPr>
          <c:invertIfNegative val="0"/>
          <c:val>
            <c:numRef>
              <c:f>Summary!$C$3</c:f>
              <c:numCache>
                <c:formatCode>0.0%</c:formatCode>
                <c:ptCount val="1"/>
                <c:pt idx="0">
                  <c:v>2.4499572909922255E-3</c:v>
                </c:pt>
              </c:numCache>
            </c:numRef>
          </c:val>
          <c:extLst xmlns:c16r2="http://schemas.microsoft.com/office/drawing/2015/06/chart">
            <c:ext xmlns:c16="http://schemas.microsoft.com/office/drawing/2014/chart" uri="{C3380CC4-5D6E-409C-BE32-E72D297353CC}">
              <c16:uniqueId val="{00000002-45D9-4182-B4F9-612F236A8AE3}"/>
            </c:ext>
          </c:extLst>
        </c:ser>
        <c:ser>
          <c:idx val="3"/>
          <c:order val="3"/>
          <c:tx>
            <c:strRef>
              <c:f>Summary!$A$4</c:f>
              <c:strCache>
                <c:ptCount val="1"/>
                <c:pt idx="0">
                  <c:v>PA targets in post-COP10 NBSAPs</c:v>
                </c:pt>
              </c:strCache>
            </c:strRef>
          </c:tx>
          <c:spPr>
            <a:pattFill prst="dkUpDiag">
              <a:fgClr>
                <a:schemeClr val="accent4">
                  <a:lumMod val="75000"/>
                </a:schemeClr>
              </a:fgClr>
              <a:bgClr>
                <a:schemeClr val="bg1"/>
              </a:bgClr>
            </a:pattFill>
          </c:spPr>
          <c:invertIfNegative val="0"/>
          <c:val>
            <c:numRef>
              <c:f>Summary!$C$4</c:f>
              <c:numCache>
                <c:formatCode>0.0%</c:formatCode>
                <c:ptCount val="1"/>
                <c:pt idx="0">
                  <c:v>2.5680760853806973E-2</c:v>
                </c:pt>
              </c:numCache>
            </c:numRef>
          </c:val>
          <c:extLst xmlns:c16r2="http://schemas.microsoft.com/office/drawing/2015/06/chart">
            <c:ext xmlns:c16="http://schemas.microsoft.com/office/drawing/2014/chart" uri="{C3380CC4-5D6E-409C-BE32-E72D297353CC}">
              <c16:uniqueId val="{00000003-45D9-4182-B4F9-612F236A8AE3}"/>
            </c:ext>
          </c:extLst>
        </c:ser>
        <c:dLbls>
          <c:showLegendKey val="0"/>
          <c:showVal val="0"/>
          <c:showCatName val="0"/>
          <c:showSerName val="0"/>
          <c:showPercent val="0"/>
          <c:showBubbleSize val="0"/>
        </c:dLbls>
        <c:gapWidth val="75"/>
        <c:overlap val="100"/>
        <c:axId val="127337600"/>
        <c:axId val="127339520"/>
      </c:barChart>
      <c:catAx>
        <c:axId val="127337600"/>
        <c:scaling>
          <c:orientation val="minMax"/>
        </c:scaling>
        <c:delete val="1"/>
        <c:axPos val="l"/>
        <c:majorTickMark val="out"/>
        <c:minorTickMark val="none"/>
        <c:tickLblPos val="nextTo"/>
        <c:crossAx val="127339520"/>
        <c:crosses val="autoZero"/>
        <c:auto val="1"/>
        <c:lblAlgn val="ctr"/>
        <c:lblOffset val="100"/>
        <c:noMultiLvlLbl val="0"/>
      </c:catAx>
      <c:valAx>
        <c:axId val="127339520"/>
        <c:scaling>
          <c:orientation val="minMax"/>
          <c:max val="0.2"/>
          <c:min val="0"/>
        </c:scaling>
        <c:delete val="0"/>
        <c:axPos val="b"/>
        <c:majorGridlines/>
        <c:numFmt formatCode="0%" sourceLinked="0"/>
        <c:majorTickMark val="none"/>
        <c:minorTickMark val="out"/>
        <c:tickLblPos val="nextTo"/>
        <c:txPr>
          <a:bodyPr/>
          <a:lstStyle/>
          <a:p>
            <a:pPr>
              <a:defRPr sz="1100"/>
            </a:pPr>
            <a:endParaRPr lang="en-US"/>
          </a:p>
        </c:txPr>
        <c:crossAx val="127337600"/>
        <c:crosses val="autoZero"/>
        <c:crossBetween val="between"/>
        <c:majorUnit val="0.17"/>
        <c:minorUnit val="5.000000000000001E-2"/>
      </c:valAx>
    </c:plotArea>
    <c:legend>
      <c:legendPos val="r"/>
      <c:layout>
        <c:manualLayout>
          <c:xMode val="edge"/>
          <c:yMode val="edge"/>
          <c:x val="8.2237351546526283E-2"/>
          <c:y val="1.610642607500741E-2"/>
          <c:w val="0.74096706834297643"/>
          <c:h val="0.22630172273410398"/>
        </c:manualLayout>
      </c:layout>
      <c:overlay val="0"/>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552450</xdr:colOff>
      <xdr:row>12</xdr:row>
      <xdr:rowOff>0</xdr:rowOff>
    </xdr:from>
    <xdr:to>
      <xdr:col>7</xdr:col>
      <xdr:colOff>409574</xdr:colOff>
      <xdr:row>29</xdr:row>
      <xdr:rowOff>152400</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A_biom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_biomes"/>
    </sheetNames>
    <sheetDataSet>
      <sheetData sheetId="0" refreshError="1">
        <row r="8">
          <cell r="N8">
            <v>334660.31105470005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thegef.org/project/cbpf-msl-strengthening-management-effectiveness-protected-area-landscape-altai-mountains-and" TargetMode="External"/><Relationship Id="rId18" Type="http://schemas.openxmlformats.org/officeDocument/2006/relationships/hyperlink" Target="https://www.thegef.org/project/chinas-protected-area-system-reform-c-par" TargetMode="External"/><Relationship Id="rId26" Type="http://schemas.openxmlformats.org/officeDocument/2006/relationships/hyperlink" Target="https://www.thegef.org/project/conservation-sustainable-use-biodiversity-and-maintenance-ecosystem-services-internationally" TargetMode="External"/><Relationship Id="rId39" Type="http://schemas.openxmlformats.org/officeDocument/2006/relationships/hyperlink" Target="https://www.thegef.org/project/initial-steps-establishment-national-protected-areas-network" TargetMode="External"/><Relationship Id="rId21" Type="http://schemas.openxmlformats.org/officeDocument/2006/relationships/hyperlink" Target="https://www.thegef.org/project/consolidation-national-system-protected-areassinap-national-and-regional-levels" TargetMode="External"/><Relationship Id="rId34" Type="http://schemas.openxmlformats.org/officeDocument/2006/relationships/hyperlink" Target="https://www.thegef.org/project/expansion-and-improved-management-effectiveness-achara-region%E2%80%99s-protected-areas" TargetMode="External"/><Relationship Id="rId42" Type="http://schemas.openxmlformats.org/officeDocument/2006/relationships/hyperlink" Target="https://www.thegef.org/project/resilient-islands-resilient-communities" TargetMode="External"/><Relationship Id="rId47" Type="http://schemas.openxmlformats.org/officeDocument/2006/relationships/hyperlink" Target="https://www.thegef.org/project/strengthening-management-pa-system-better-conserve-endangered-species-and-their-habitats" TargetMode="External"/><Relationship Id="rId50" Type="http://schemas.openxmlformats.org/officeDocument/2006/relationships/hyperlink" Target="https://www.thegef.org/project/conservation-coastal-watersheds-achieve-multiple-global-environmental-benefits-context" TargetMode="External"/><Relationship Id="rId55" Type="http://schemas.openxmlformats.org/officeDocument/2006/relationships/hyperlink" Target="https://www.thegef.org/project/ridge-reef-integrated-protected-area-land-and-seascape-management-tanintharyi" TargetMode="External"/><Relationship Id="rId63" Type="http://schemas.openxmlformats.org/officeDocument/2006/relationships/hyperlink" Target="https://www.thegef.org/project/conservation-critical-wetland-pas-and-linked-landscapes" TargetMode="External"/><Relationship Id="rId68" Type="http://schemas.openxmlformats.org/officeDocument/2006/relationships/hyperlink" Target="https://www.thegef.org/project/conservation-and-sustainable-use-threatened-savanna-woodland-kidepo-critical-landscape-north" TargetMode="External"/><Relationship Id="rId76" Type="http://schemas.openxmlformats.org/officeDocument/2006/relationships/hyperlink" Target="https://www.thegef.org/project/strengthening-national-protected-areas-system-swaziland" TargetMode="External"/><Relationship Id="rId84" Type="http://schemas.openxmlformats.org/officeDocument/2006/relationships/hyperlink" Target="https://www.thegef.org/project/landscape-approach-management-peatlands-aiming-multiple-ecological-benefits" TargetMode="External"/><Relationship Id="rId89" Type="http://schemas.openxmlformats.org/officeDocument/2006/relationships/hyperlink" Target="https://www.thegef.org/project/arctic-conserving-biodiversity-changing-arctic" TargetMode="External"/><Relationship Id="rId7" Type="http://schemas.openxmlformats.org/officeDocument/2006/relationships/hyperlink" Target="https://www.thegef.org/project/recovery-and-protection-climate-and-biodiversity-services-southeast-atlantic-forest-corridor" TargetMode="External"/><Relationship Id="rId71" Type="http://schemas.openxmlformats.org/officeDocument/2006/relationships/hyperlink" Target="https://www.thegef.org/project/improving-forest-and-protected-area-management" TargetMode="External"/><Relationship Id="rId92" Type="http://schemas.openxmlformats.org/officeDocument/2006/relationships/printerSettings" Target="../printerSettings/printerSettings4.bin"/><Relationship Id="rId2" Type="http://schemas.openxmlformats.org/officeDocument/2006/relationships/hyperlink" Target="https://www.thegef.org/project/expansion-and-strengthening-angola%E2%80%99s-protected-area-system" TargetMode="External"/><Relationship Id="rId16" Type="http://schemas.openxmlformats.org/officeDocument/2006/relationships/hyperlink" Target="https://www.thegef.org/project/cbpf-msl-strengthening-management-effectiveness-protected-area-network-daxing%E2%80%99anling" TargetMode="External"/><Relationship Id="rId29" Type="http://schemas.openxmlformats.org/officeDocument/2006/relationships/hyperlink" Target="https://www.thegef.org/project/mainstreaming-conservation-and-sustainable-use-biodiversity-tourism-development-and" TargetMode="External"/><Relationship Id="rId11" Type="http://schemas.openxmlformats.org/officeDocument/2006/relationships/hyperlink" Target="https://www.thegef.org/project/cbpf-msl-strengthening-management-effectiveness-sub-system-wetland-protected-areas" TargetMode="External"/><Relationship Id="rId24" Type="http://schemas.openxmlformats.org/officeDocument/2006/relationships/hyperlink" Target="https://www.thegef.org/project/development-national-network-terrestrial-and-marine-protected-areas-representative-comoros" TargetMode="External"/><Relationship Id="rId32" Type="http://schemas.openxmlformats.org/officeDocument/2006/relationships/hyperlink" Target="https://www.thegef.org/project/implementing-ridge-reef-approach-preserve-ecosystem-services-sequester-carbon-improve" TargetMode="External"/><Relationship Id="rId37" Type="http://schemas.openxmlformats.org/officeDocument/2006/relationships/hyperlink" Target="https://www.thegef.org/project/enhancing-protected-area-system-sulawesi-e-pass-biodiversity-conservation" TargetMode="External"/><Relationship Id="rId40" Type="http://schemas.openxmlformats.org/officeDocument/2006/relationships/hyperlink" Target="https://www.thegef.org/project/improving-sustainability-pa-system-desert-ecosystems-through-promotion-biodiversity" TargetMode="External"/><Relationship Id="rId45" Type="http://schemas.openxmlformats.org/officeDocument/2006/relationships/hyperlink" Target="https://www.thegef.org/project/sustainable-forest-and-land-management-dry-dipterocarp-forest-ecosystems-southern-lao-pdr" TargetMode="External"/><Relationship Id="rId53" Type="http://schemas.openxmlformats.org/officeDocument/2006/relationships/hyperlink" Target="https://www.thegef.org/project/strengthening-conservation-globally-threatened-species-mozambique-through-improving-0" TargetMode="External"/><Relationship Id="rId58" Type="http://schemas.openxmlformats.org/officeDocument/2006/relationships/hyperlink" Target="https://www.thegef.org/project/pakistan-snow-leopard-and-ecosystem-protection-program-resubmission" TargetMode="External"/><Relationship Id="rId66" Type="http://schemas.openxmlformats.org/officeDocument/2006/relationships/hyperlink" Target="https://www.thegef.org/project/sustainable-natural-resource-use-and-forest-management-key-mountainous-areas-important" TargetMode="External"/><Relationship Id="rId74" Type="http://schemas.openxmlformats.org/officeDocument/2006/relationships/hyperlink" Target="https://www.thegef.org/project/maximizing-carbon-sink-capacity-and-conserving-biodiversity-through-sustainable-conservation" TargetMode="External"/><Relationship Id="rId79" Type="http://schemas.openxmlformats.org/officeDocument/2006/relationships/hyperlink" Target="https://www.thegef.org/project/conserving-biodiversity-and-reducing-habitat-degradation-protected-areas-and-their-buffer" TargetMode="External"/><Relationship Id="rId87" Type="http://schemas.openxmlformats.org/officeDocument/2006/relationships/hyperlink" Target="https://www.thegef.org/project/r2r-implementing-integrated-ridge-reef-approach-enhance-ecosystem-services-conserve-globally" TargetMode="External"/><Relationship Id="rId5" Type="http://schemas.openxmlformats.org/officeDocument/2006/relationships/hyperlink" Target="https://www.thegef.org/project/sustainable-forest-management-and-conservation-project-central-and-south-benin" TargetMode="External"/><Relationship Id="rId61" Type="http://schemas.openxmlformats.org/officeDocument/2006/relationships/hyperlink" Target="https://www.thegef.org/project/transforming-management-protected-arealandscape-complexes-strengthen-ecosystem-resilience" TargetMode="External"/><Relationship Id="rId82" Type="http://schemas.openxmlformats.org/officeDocument/2006/relationships/hyperlink" Target="https://www.thegef.org/project/strengthening-effectiveness-national-protected-area-system-including-landscape-approach" TargetMode="External"/><Relationship Id="rId90" Type="http://schemas.openxmlformats.org/officeDocument/2006/relationships/hyperlink" Target="https://www.thegef.org/project/integrated-forest-management-solomon-islands" TargetMode="External"/><Relationship Id="rId19" Type="http://schemas.openxmlformats.org/officeDocument/2006/relationships/hyperlink" Target="https://www.thegef.org/project/landscape-approach-wildlife-conservation-northeastern-china" TargetMode="External"/><Relationship Id="rId14" Type="http://schemas.openxmlformats.org/officeDocument/2006/relationships/hyperlink" Target="https://www.thegef.org/project/cbpf-msl-piloting-provincial-level-wetland-protected-area-system-jiangxi-province" TargetMode="External"/><Relationship Id="rId22" Type="http://schemas.openxmlformats.org/officeDocument/2006/relationships/hyperlink" Target="https://www.thegef.org/project/sustainable-management-and-conservation-biodiversity-magdalena-river-basin" TargetMode="External"/><Relationship Id="rId27" Type="http://schemas.openxmlformats.org/officeDocument/2006/relationships/hyperlink" Target="https://www.thegef.org/project/democratic-republic-congo-conservation-trust-fund-af-national-parks-network-rehabilitation" TargetMode="External"/><Relationship Id="rId30" Type="http://schemas.openxmlformats.org/officeDocument/2006/relationships/hyperlink" Target="https://www.thegef.org/project/conservation-sustainable-use-biodiversity-and-maintenance-ecosystem-services-protected" TargetMode="External"/><Relationship Id="rId35" Type="http://schemas.openxmlformats.org/officeDocument/2006/relationships/hyperlink" Target="https://www.thegef.org/project/implementing-ridge-reef-approach-protecting-biodiversity-and-ecosystem-functions-within-and" TargetMode="External"/><Relationship Id="rId43" Type="http://schemas.openxmlformats.org/officeDocument/2006/relationships/hyperlink" Target="https://www.thegef.org/project/improving-coverage-and-management-effectiveness-pas-central-tian-shan-mountains" TargetMode="External"/><Relationship Id="rId48" Type="http://schemas.openxmlformats.org/officeDocument/2006/relationships/hyperlink" Target="https://www.thegef.org/project/strengthening-management-effectiveness-and-resilience-protected-areas-safeguard-biodiversity" TargetMode="External"/><Relationship Id="rId56" Type="http://schemas.openxmlformats.org/officeDocument/2006/relationships/hyperlink" Target="https://www.thegef.org/project/application-ridge-reef-concept-biodiversity-conservation-and-enhancement-ecosystem-service" TargetMode="External"/><Relationship Id="rId64" Type="http://schemas.openxmlformats.org/officeDocument/2006/relationships/hyperlink" Target="https://www.thegef.org/project/mainstreaming-natural-resource-management-and-biodiversity-conservation-objectives-socio" TargetMode="External"/><Relationship Id="rId69" Type="http://schemas.openxmlformats.org/officeDocument/2006/relationships/hyperlink" Target="https://www.thegef.org/project/integrated-approach-management-forests-demonstration-high-conservation-value-forests" TargetMode="External"/><Relationship Id="rId77" Type="http://schemas.openxmlformats.org/officeDocument/2006/relationships/hyperlink" Target="https://www.thegef.org/project/improving-management-effectiveness-protected-area-network" TargetMode="External"/><Relationship Id="rId8" Type="http://schemas.openxmlformats.org/officeDocument/2006/relationships/hyperlink" Target="https://www.thegef.org/project/conservation-restoration-and-sustainable-management-strategies-enhance-caatinga-pampa-and" TargetMode="External"/><Relationship Id="rId51" Type="http://schemas.openxmlformats.org/officeDocument/2006/relationships/hyperlink" Target="https://www.thegef.org/project/network-managed-resource-protected-areas" TargetMode="External"/><Relationship Id="rId72" Type="http://schemas.openxmlformats.org/officeDocument/2006/relationships/hyperlink" Target="https://www.thegef.org/project/securing-long-term-conservation-timor-leste-biodiversity-and-ecosystem-services-through" TargetMode="External"/><Relationship Id="rId80" Type="http://schemas.openxmlformats.org/officeDocument/2006/relationships/hyperlink" Target="https://www.thegef.org/project/integrated-ecosystem-management-and-restoration-forests-south-east-coast-st-lucia" TargetMode="External"/><Relationship Id="rId85" Type="http://schemas.openxmlformats.org/officeDocument/2006/relationships/hyperlink" Target="https://www.thegef.org/project/amazon-sustainable-landscapes-project" TargetMode="External"/><Relationship Id="rId3" Type="http://schemas.openxmlformats.org/officeDocument/2006/relationships/hyperlink" Target="https://www.thegef.org/project/path-2020-antigua-and-barbuda" TargetMode="External"/><Relationship Id="rId12" Type="http://schemas.openxmlformats.org/officeDocument/2006/relationships/hyperlink" Target="https://www.thegef.org/project/securing-biodiversity-conservation-and-sustainable-use-huangshan-municipality" TargetMode="External"/><Relationship Id="rId17" Type="http://schemas.openxmlformats.org/officeDocument/2006/relationships/hyperlink" Target="https://www.thegef.org/project/cbpf-msl-strengthening-management-effectiveness-wetland-protected-area-system-anhui-province" TargetMode="External"/><Relationship Id="rId25" Type="http://schemas.openxmlformats.org/officeDocument/2006/relationships/hyperlink" Target="https://www.thegef.org/project/creation-conkouati-dimonika-pa-complex-and-development-community-private-sector" TargetMode="External"/><Relationship Id="rId33" Type="http://schemas.openxmlformats.org/officeDocument/2006/relationships/hyperlink" Target="https://www.thegef.org/project/gambia-protected-areas-network-and-community-livelihood-project" TargetMode="External"/><Relationship Id="rId38" Type="http://schemas.openxmlformats.org/officeDocument/2006/relationships/hyperlink" Target="https://www.thegef.org/project/building-multiple-use-forest-management-framework-conserve-biodiversity-caspian-hyrcanian" TargetMode="External"/><Relationship Id="rId46" Type="http://schemas.openxmlformats.org/officeDocument/2006/relationships/hyperlink" Target="https://www.thegef.org/project/mainstreaming-ias-prevention-control-and-management" TargetMode="External"/><Relationship Id="rId59" Type="http://schemas.openxmlformats.org/officeDocument/2006/relationships/hyperlink" Target="https://www.thegef.org/project/r2r-strengthening-management-effectiveness-national-system-protected-areas" TargetMode="External"/><Relationship Id="rId67" Type="http://schemas.openxmlformats.org/officeDocument/2006/relationships/hyperlink" Target="https://www.thegef.org/project/enhancing-forest-nature-reserves-network-biodiversity-conservation-tanzania" TargetMode="External"/><Relationship Id="rId20" Type="http://schemas.openxmlformats.org/officeDocument/2006/relationships/hyperlink" Target="https://www.thegef.org/project/conservation-and-sustainable-use-biodiversity-dry-ecosystems-guarantee-flow-ecosystem" TargetMode="External"/><Relationship Id="rId41" Type="http://schemas.openxmlformats.org/officeDocument/2006/relationships/hyperlink" Target="https://www.thegef.org/project/conservation-and-sustainable-management-key-globally-important-ecosystems-multiple-benefits" TargetMode="External"/><Relationship Id="rId54" Type="http://schemas.openxmlformats.org/officeDocument/2006/relationships/hyperlink" Target="https://www.thegef.org/project/strengthening-sustainability-protected-area-management" TargetMode="External"/><Relationship Id="rId62" Type="http://schemas.openxmlformats.org/officeDocument/2006/relationships/hyperlink" Target="https://www.thegef.org/project/strengthening-management-effectiveness-and-generating-multiple-environmental-benefits-within" TargetMode="External"/><Relationship Id="rId70" Type="http://schemas.openxmlformats.org/officeDocument/2006/relationships/hyperlink" Target="https://www.thegef.org/project/conservation-and-sustainable-management-turkeys-steppe-ecosystems" TargetMode="External"/><Relationship Id="rId75" Type="http://schemas.openxmlformats.org/officeDocument/2006/relationships/hyperlink" Target="https://www.thegef.org/project/conservation-and-sustainable-use-pamir-alay-and-tian-shan-ecosystems-snow-leopard-protection" TargetMode="External"/><Relationship Id="rId83" Type="http://schemas.openxmlformats.org/officeDocument/2006/relationships/hyperlink" Target="https://www.thegef.org/project/enhancing-biodiversity-conservation-and-sustenance-ecosystem-services-environmentally" TargetMode="External"/><Relationship Id="rId88" Type="http://schemas.openxmlformats.org/officeDocument/2006/relationships/hyperlink" Target="https://www.thegef.org/project/strengthening-national-systems-improve-governance-and-management-indigenous-peoples-and" TargetMode="External"/><Relationship Id="rId91" Type="http://schemas.openxmlformats.org/officeDocument/2006/relationships/hyperlink" Target="https://www.thegef.org/project/strengthened-protected-areas-system-and-integrated-ecosystem-management-sudan" TargetMode="External"/><Relationship Id="rId1" Type="http://schemas.openxmlformats.org/officeDocument/2006/relationships/hyperlink" Target="https://www.thegef.org/project/establishing-integrated-models-protected-areas-and-their-co-management" TargetMode="External"/><Relationship Id="rId6" Type="http://schemas.openxmlformats.org/officeDocument/2006/relationships/hyperlink" Target="https://www.thegef.org/project/achieving-biodiversity-conservation-through-creation-effective-management-and-spatial" TargetMode="External"/><Relationship Id="rId15" Type="http://schemas.openxmlformats.org/officeDocument/2006/relationships/hyperlink" Target="https://www.thegef.org/project/cbpf-msl-strengthening-management-effectiveness-wetland-protected-area-system-hainan" TargetMode="External"/><Relationship Id="rId23" Type="http://schemas.openxmlformats.org/officeDocument/2006/relationships/hyperlink" Target="https://www.thegef.org/project/conservation-biodiversity-landscapes-impacted-mining-choco-biogeographic-region" TargetMode="External"/><Relationship Id="rId28" Type="http://schemas.openxmlformats.org/officeDocument/2006/relationships/hyperlink" Target="https://www.thegef.org/project/landscape-approach-conservation-threatened-mountain-ecosystems" TargetMode="External"/><Relationship Id="rId36" Type="http://schemas.openxmlformats.org/officeDocument/2006/relationships/hyperlink" Target="https://www.thegef.org/project/developing-effective-multiple-use-management-framework-conserving-biodiversity-mountain" TargetMode="External"/><Relationship Id="rId49" Type="http://schemas.openxmlformats.org/officeDocument/2006/relationships/hyperlink" Target="https://www.thegef.org/project/conservation-and-sustainable-use-biological-diversity-priority-landscapes-oaxaca-and-chiapas" TargetMode="External"/><Relationship Id="rId57" Type="http://schemas.openxmlformats.org/officeDocument/2006/relationships/hyperlink" Target="https://www.thegef.org/project/r2r-advancing-sustainable-resources-management-improve-livelihoods-and-protect-biodiversity" TargetMode="External"/><Relationship Id="rId10" Type="http://schemas.openxmlformats.org/officeDocument/2006/relationships/hyperlink" Target="https://www.thegef.org/project/sustainable-forest-management-under-authority-cameroonian-councils" TargetMode="External"/><Relationship Id="rId31" Type="http://schemas.openxmlformats.org/officeDocument/2006/relationships/hyperlink" Target="https://www.thegef.org/project/integrated-semenawi-and-debubawi-bahri-buri-irrori-hawakil-protected-area-system" TargetMode="External"/><Relationship Id="rId44" Type="http://schemas.openxmlformats.org/officeDocument/2006/relationships/hyperlink" Target="https://www.thegef.org/project/conservation-globally-important-biodiversity-and-associated-land-and-forest-resources" TargetMode="External"/><Relationship Id="rId52" Type="http://schemas.openxmlformats.org/officeDocument/2006/relationships/hyperlink" Target="https://www.thegef.org/project/ensuring-sustainability-and-resilience-ensure-green-landscapes-mongolia" TargetMode="External"/><Relationship Id="rId60" Type="http://schemas.openxmlformats.org/officeDocument/2006/relationships/hyperlink" Target="https://www.thegef.org/project/conservation-management-and-rehabilitation-fragile-lomas-ecosystems" TargetMode="External"/><Relationship Id="rId65" Type="http://schemas.openxmlformats.org/officeDocument/2006/relationships/hyperlink" Target="https://www.thegef.org/project/r2r-integrated-sustainable-land-and-coastal-management" TargetMode="External"/><Relationship Id="rId73" Type="http://schemas.openxmlformats.org/officeDocument/2006/relationships/hyperlink" Target="https://www.thegef.org/project/achieving-biodiversity-conservation-through-creation-and-effective-management-protected" TargetMode="External"/><Relationship Id="rId78" Type="http://schemas.openxmlformats.org/officeDocument/2006/relationships/hyperlink" Target="https://www.thegef.org/project/erepa-ensuring-resilient-ecosystems-and-representative-protected-areas-solomon-islands" TargetMode="External"/><Relationship Id="rId81" Type="http://schemas.openxmlformats.org/officeDocument/2006/relationships/hyperlink" Target="https://www.thegef.org/project/conserving-biodiversity-and-reducing-land-degradation-using-ridge-reef-approach" TargetMode="External"/><Relationship Id="rId86" Type="http://schemas.openxmlformats.org/officeDocument/2006/relationships/hyperlink" Target="https://www.thegef.org/project/contributing-integrated-management-biodiversity-pacific-region-colombia-build-peace" TargetMode="External"/><Relationship Id="rId4" Type="http://schemas.openxmlformats.org/officeDocument/2006/relationships/hyperlink" Target="https://www.thegef.org/project/expanding-pa-system-incorporate-important-aquatic-ecosystems" TargetMode="External"/><Relationship Id="rId9" Type="http://schemas.openxmlformats.org/officeDocument/2006/relationships/hyperlink" Target="https://www.thegef.org/project/sustainable-farming-and-critical-habitat-conservation-achieve-biodiversity-mainstreaming-and"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bd.int/doc/world/fi/fi-nbsap-v3-p1-en.pdf" TargetMode="External"/><Relationship Id="rId18" Type="http://schemas.openxmlformats.org/officeDocument/2006/relationships/hyperlink" Target="https://www.cbd.int/doc/world/jp/jp-nbsap-v5-en.pdf" TargetMode="External"/><Relationship Id="rId26" Type="http://schemas.openxmlformats.org/officeDocument/2006/relationships/hyperlink" Target="https://www.cbd.int/doc/world/sb/sb-nbsap-v2-en.pdf" TargetMode="External"/><Relationship Id="rId39" Type="http://schemas.openxmlformats.org/officeDocument/2006/relationships/hyperlink" Target="https://www.cbd.int/doc/world/cd/cd-nbsap-v3-fr.pdf" TargetMode="External"/><Relationship Id="rId21" Type="http://schemas.openxmlformats.org/officeDocument/2006/relationships/hyperlink" Target="https://www.cbd.int/doc/world/ma/ma-nbsap-v3-fr.pdf" TargetMode="External"/><Relationship Id="rId34" Type="http://schemas.openxmlformats.org/officeDocument/2006/relationships/hyperlink" Target="https://www.cbd.int/doc/world/bw/bw-nbsap-v3-en.pdf" TargetMode="External"/><Relationship Id="rId42" Type="http://schemas.openxmlformats.org/officeDocument/2006/relationships/hyperlink" Target="https://www.cbd.int/doc/world/gh/gh-nbsap-v2-en.pdf" TargetMode="External"/><Relationship Id="rId47" Type="http://schemas.openxmlformats.org/officeDocument/2006/relationships/hyperlink" Target="https://www.cbd.int/doc/world/mg/mg-nbsap-v2-en.pdf" TargetMode="External"/><Relationship Id="rId50" Type="http://schemas.openxmlformats.org/officeDocument/2006/relationships/hyperlink" Target="https://www.cbd.int/doc/world/mt/mt-nbsap-01-en.pdf" TargetMode="External"/><Relationship Id="rId55" Type="http://schemas.openxmlformats.org/officeDocument/2006/relationships/hyperlink" Target="https://www.cbd.int/doc/world/nu/nu-nbsap-v2-en.pdf" TargetMode="External"/><Relationship Id="rId63" Type="http://schemas.openxmlformats.org/officeDocument/2006/relationships/hyperlink" Target="https://www.cbd.int/doc/world/ug/ug-nbsap-v2-en.pdf" TargetMode="External"/><Relationship Id="rId68" Type="http://schemas.openxmlformats.org/officeDocument/2006/relationships/hyperlink" Target="https://www.cbd.int/doc/world/mu/mu-nbsap-v2-en.pdf" TargetMode="External"/><Relationship Id="rId76" Type="http://schemas.openxmlformats.org/officeDocument/2006/relationships/hyperlink" Target="https://www.cbd.int/doc/world/vc/vc-nbsap-v2-en.pdf" TargetMode="External"/><Relationship Id="rId7" Type="http://schemas.openxmlformats.org/officeDocument/2006/relationships/hyperlink" Target="https://www.cbd.int/doc/world/br/br-nbsap-v3-en.pdf" TargetMode="External"/><Relationship Id="rId71" Type="http://schemas.openxmlformats.org/officeDocument/2006/relationships/hyperlink" Target="https://www.cbd.int/doc/world/in/in-nbsap-v3-en.pdf" TargetMode="External"/><Relationship Id="rId2" Type="http://schemas.openxmlformats.org/officeDocument/2006/relationships/hyperlink" Target="https://www.cbd.int/doc/world/ag/ag-nbsap-01-en.pdf" TargetMode="External"/><Relationship Id="rId16" Type="http://schemas.openxmlformats.org/officeDocument/2006/relationships/hyperlink" Target="https://www.cbd.int/doc/world/gn/gn-nbsap-v2-fr.pdf" TargetMode="External"/><Relationship Id="rId29" Type="http://schemas.openxmlformats.org/officeDocument/2006/relationships/hyperlink" Target="https://www.cbd.int/doc/world/uy/uy-nbsap-v2-es.pdf" TargetMode="External"/><Relationship Id="rId11" Type="http://schemas.openxmlformats.org/officeDocument/2006/relationships/hyperlink" Target="https://www.cbd.int/doc/world/dm/dm-nbsap-v2-en.pdf" TargetMode="External"/><Relationship Id="rId24" Type="http://schemas.openxmlformats.org/officeDocument/2006/relationships/hyperlink" Target="https://www.cbd.int/doc/world/ws/ws-nbsap-v2-en.pdf" TargetMode="External"/><Relationship Id="rId32" Type="http://schemas.openxmlformats.org/officeDocument/2006/relationships/hyperlink" Target="https://www.cbd.int/doc/world/dz/dz-nbsap-v2-fr.pdf" TargetMode="External"/><Relationship Id="rId37" Type="http://schemas.openxmlformats.org/officeDocument/2006/relationships/hyperlink" Target="https://www.cbd.int/doc/world/cr/cr-nbsap-v2-es.pdf" TargetMode="External"/><Relationship Id="rId40" Type="http://schemas.openxmlformats.org/officeDocument/2006/relationships/hyperlink" Target="https://www.cbd.int/doc/world/eg/eg-nbsap-v2-en.pdf" TargetMode="External"/><Relationship Id="rId45" Type="http://schemas.openxmlformats.org/officeDocument/2006/relationships/hyperlink" Target="https://www.cbd.int/doc/world/kg/kg-nbsap-v3-en.pdf" TargetMode="External"/><Relationship Id="rId53" Type="http://schemas.openxmlformats.org/officeDocument/2006/relationships/hyperlink" Target="https://www.cbd.int/doc/world/mm/mm-nbsap-v2-en.pdf" TargetMode="External"/><Relationship Id="rId58" Type="http://schemas.openxmlformats.org/officeDocument/2006/relationships/hyperlink" Target="https://www.cbd.int/doc/world/md/md-nbsap-v2-en.pdf" TargetMode="External"/><Relationship Id="rId66" Type="http://schemas.openxmlformats.org/officeDocument/2006/relationships/hyperlink" Target="https://www.cbd.int/doc/world/km/km-nbsap-v2-fr.pdf" TargetMode="External"/><Relationship Id="rId74" Type="http://schemas.openxmlformats.org/officeDocument/2006/relationships/hyperlink" Target="https://www.cbd.int/doc/world/tt/tt-nbsap-v2-en.pdf" TargetMode="External"/><Relationship Id="rId79" Type="http://schemas.openxmlformats.org/officeDocument/2006/relationships/hyperlink" Target="https://www.cbd.int/doc/world/tm/tm-nbsap-v2-ru.pdf" TargetMode="External"/><Relationship Id="rId5" Type="http://schemas.openxmlformats.org/officeDocument/2006/relationships/hyperlink" Target="https://www.cbd.int/doc/world/be/be-nr-05-en.pdf" TargetMode="External"/><Relationship Id="rId61" Type="http://schemas.openxmlformats.org/officeDocument/2006/relationships/hyperlink" Target="https://www.cbd.int/doc/world/za/za-nbsap-v2-en.pdf" TargetMode="External"/><Relationship Id="rId10" Type="http://schemas.openxmlformats.org/officeDocument/2006/relationships/hyperlink" Target="https://www.cbd.int/doc/world/cg/cg-nbsap-v2-fr.pdf" TargetMode="External"/><Relationship Id="rId19" Type="http://schemas.openxmlformats.org/officeDocument/2006/relationships/hyperlink" Target="https://www.cbd.int/doc/world/jo/jo-nbsap-v2-en.pdf" TargetMode="External"/><Relationship Id="rId31" Type="http://schemas.openxmlformats.org/officeDocument/2006/relationships/hyperlink" Target="https://www.cbd.int/doc/world/af/af-nbsap-01-en.pdf" TargetMode="External"/><Relationship Id="rId44" Type="http://schemas.openxmlformats.org/officeDocument/2006/relationships/hyperlink" Target="https://www.cbd.int/doc/world/ir/ir-nbsap-v2-en.pdf" TargetMode="External"/><Relationship Id="rId52" Type="http://schemas.openxmlformats.org/officeDocument/2006/relationships/hyperlink" Target="https://www.cbd.int/doc/world/me/me-nbsap-v2-me.pdf" TargetMode="External"/><Relationship Id="rId60" Type="http://schemas.openxmlformats.org/officeDocument/2006/relationships/hyperlink" Target="https://www.cbd.int/doc/world/so/so-nbsap-01-en.pdf" TargetMode="External"/><Relationship Id="rId65" Type="http://schemas.openxmlformats.org/officeDocument/2006/relationships/hyperlink" Target="https://www.cbd.int/doc/world/zw/zw-nbsap-v2-en.pdf" TargetMode="External"/><Relationship Id="rId73" Type="http://schemas.openxmlformats.org/officeDocument/2006/relationships/hyperlink" Target="https://www.cbd.int/doc/world/vu/vu-nbsap-v2-en.pdf" TargetMode="External"/><Relationship Id="rId78" Type="http://schemas.openxmlformats.org/officeDocument/2006/relationships/hyperlink" Target="https://www.cbd.int/doc/world/cm/cm-nbsap-v2-en.pdf" TargetMode="External"/><Relationship Id="rId81" Type="http://schemas.openxmlformats.org/officeDocument/2006/relationships/printerSettings" Target="../printerSettings/printerSettings5.bin"/><Relationship Id="rId4" Type="http://schemas.openxmlformats.org/officeDocument/2006/relationships/hyperlink" Target="https://www.cbd.int/doc/world/az/az-nbsap-v2-en.pdf" TargetMode="External"/><Relationship Id="rId9" Type="http://schemas.openxmlformats.org/officeDocument/2006/relationships/hyperlink" Target="https://www.cbd.int/countries/targets/?country=ca" TargetMode="External"/><Relationship Id="rId14" Type="http://schemas.openxmlformats.org/officeDocument/2006/relationships/hyperlink" Target="https://www.cbd.int/doc/world/gm/gm-nbsap-v2-en.pdf" TargetMode="External"/><Relationship Id="rId22" Type="http://schemas.openxmlformats.org/officeDocument/2006/relationships/hyperlink" Target="https://www.cbd.int/doc/world/kr/kr-nbsap-v3-en.pdf" TargetMode="External"/><Relationship Id="rId27" Type="http://schemas.openxmlformats.org/officeDocument/2006/relationships/hyperlink" Target="https://www.cbd.int/doc/world/sd/sd-nbsap-v2-en.pdf" TargetMode="External"/><Relationship Id="rId30" Type="http://schemas.openxmlformats.org/officeDocument/2006/relationships/hyperlink" Target="https://www.cbd.int/doc/world/vn/vn-nbsap-v3-en.pdf" TargetMode="External"/><Relationship Id="rId35" Type="http://schemas.openxmlformats.org/officeDocument/2006/relationships/hyperlink" Target="https://www.cbd.int/doc/world/bi/bi-nbsap-v2-p1-fr.pdf" TargetMode="External"/><Relationship Id="rId43" Type="http://schemas.openxmlformats.org/officeDocument/2006/relationships/hyperlink" Target="https://www.cbd.int/doc/world/gy/gy-nbsap-v3-en.pdf" TargetMode="External"/><Relationship Id="rId48" Type="http://schemas.openxmlformats.org/officeDocument/2006/relationships/hyperlink" Target="https://www.cbd.int/doc/world/my/my-nbsap-v2-en.pdf" TargetMode="External"/><Relationship Id="rId56" Type="http://schemas.openxmlformats.org/officeDocument/2006/relationships/hyperlink" Target="https://www.cbd.int/doc/world/py/py-nbsap-v2-es.pdf" TargetMode="External"/><Relationship Id="rId64" Type="http://schemas.openxmlformats.org/officeDocument/2006/relationships/hyperlink" Target="https://www.cbd.int/doc/world/ae/ae-nbsap-01-ar.pdf" TargetMode="External"/><Relationship Id="rId69" Type="http://schemas.openxmlformats.org/officeDocument/2006/relationships/hyperlink" Target="https://www.cbd.int/doc/world/gt/gt-nbsap-v2-es.pdf" TargetMode="External"/><Relationship Id="rId77" Type="http://schemas.openxmlformats.org/officeDocument/2006/relationships/hyperlink" Target="https://www.cbd.int/doc/world/pw/pw-nbsap-v2-en.pdf" TargetMode="External"/><Relationship Id="rId8" Type="http://schemas.openxmlformats.org/officeDocument/2006/relationships/hyperlink" Target="https://www.cbd.int/doc/world/cu/cu-nbsap-v3-es.pdf" TargetMode="External"/><Relationship Id="rId51" Type="http://schemas.openxmlformats.org/officeDocument/2006/relationships/hyperlink" Target="https://www.cbd.int/doc/world/mn/mn-nbsap-v2-en.pdf" TargetMode="External"/><Relationship Id="rId72" Type="http://schemas.openxmlformats.org/officeDocument/2006/relationships/hyperlink" Target="https://www.cbd.int/doc/world/ye/ye-nbsap-v2-en.pdf" TargetMode="External"/><Relationship Id="rId80" Type="http://schemas.openxmlformats.org/officeDocument/2006/relationships/hyperlink" Target="https://www.cbd.int/doc/world/lb/lb-nbsap-v2-en.pdf" TargetMode="External"/><Relationship Id="rId3" Type="http://schemas.openxmlformats.org/officeDocument/2006/relationships/hyperlink" Target="https://www.cbd.int/doc/world/ar/ar-nbsap-v2-es.pdf" TargetMode="External"/><Relationship Id="rId12" Type="http://schemas.openxmlformats.org/officeDocument/2006/relationships/hyperlink" Target="https://www.cbd.int/doc/world/er/er-nbsap-v2-en.pdf" TargetMode="External"/><Relationship Id="rId17" Type="http://schemas.openxmlformats.org/officeDocument/2006/relationships/hyperlink" Target="https://www.cbd.int/doc/world/jm/jm-nbsap-v2-en.pdf" TargetMode="External"/><Relationship Id="rId25" Type="http://schemas.openxmlformats.org/officeDocument/2006/relationships/hyperlink" Target="https://www.cbd.int/doc/world/sc/sc-nbsap-v2-en.pdf" TargetMode="External"/><Relationship Id="rId33" Type="http://schemas.openxmlformats.org/officeDocument/2006/relationships/hyperlink" Target="https://www.cbd.int/doc/world/bd/bd-nbsap-v2-en.pdf" TargetMode="External"/><Relationship Id="rId38" Type="http://schemas.openxmlformats.org/officeDocument/2006/relationships/hyperlink" Target="https://www.cbd.int/doc/world/kp/kp-nbsap-v2-en.pdf" TargetMode="External"/><Relationship Id="rId46" Type="http://schemas.openxmlformats.org/officeDocument/2006/relationships/hyperlink" Target="https://www.cbd.int/doc/world/lr/lr-nbsap-v2-en.pdf" TargetMode="External"/><Relationship Id="rId59" Type="http://schemas.openxmlformats.org/officeDocument/2006/relationships/hyperlink" Target="https://www.cbd.int/doc/world/rw/rw-nbsap-v2-en.pdf" TargetMode="External"/><Relationship Id="rId67" Type="http://schemas.openxmlformats.org/officeDocument/2006/relationships/hyperlink" Target="https://www.cbd.int/doc/world/cn/cn-nbsap-v2-en.pdf" TargetMode="External"/><Relationship Id="rId20" Type="http://schemas.openxmlformats.org/officeDocument/2006/relationships/hyperlink" Target="https://www.cbd.int/doc/world/mx/mx-nbsap-v2-es.pdf" TargetMode="External"/><Relationship Id="rId41" Type="http://schemas.openxmlformats.org/officeDocument/2006/relationships/hyperlink" Target="https://www.cbd.int/doc/world/et/et-nbsap-v2-en.pdf" TargetMode="External"/><Relationship Id="rId54" Type="http://schemas.openxmlformats.org/officeDocument/2006/relationships/hyperlink" Target="https://www.cbd.int/doc/world/nr/nr-nbsap-01-en.pdf" TargetMode="External"/><Relationship Id="rId62" Type="http://schemas.openxmlformats.org/officeDocument/2006/relationships/hyperlink" Target="https://www.cbd.int/doc/world/sz/sz-nbsap-v2-en.pdf" TargetMode="External"/><Relationship Id="rId70" Type="http://schemas.openxmlformats.org/officeDocument/2006/relationships/hyperlink" Target="https://www.cbd.int/doc/world/pk/pk-nbsap-v2-en.pdf" TargetMode="External"/><Relationship Id="rId75" Type="http://schemas.openxmlformats.org/officeDocument/2006/relationships/hyperlink" Target="https://www.cbd.int/doc/world/mk/mk-nbsap-v2-en.pdf" TargetMode="External"/><Relationship Id="rId1" Type="http://schemas.openxmlformats.org/officeDocument/2006/relationships/hyperlink" Target="https://www.cbd.int/doc/world/al/al-nbsap-v2-en.pdf" TargetMode="External"/><Relationship Id="rId6" Type="http://schemas.openxmlformats.org/officeDocument/2006/relationships/hyperlink" Target="https://www.cbd.int/doc/world/bj/bj-nbsap-v2-fr.pdf" TargetMode="External"/><Relationship Id="rId15" Type="http://schemas.openxmlformats.org/officeDocument/2006/relationships/hyperlink" Target="https://www.cbd.int/doc/world/ge/ge-nr-05-en.pdf" TargetMode="External"/><Relationship Id="rId23" Type="http://schemas.openxmlformats.org/officeDocument/2006/relationships/hyperlink" Target="https://www.cbd.int/doc/world/ru/ru-nbsap-v2-en.pdf" TargetMode="External"/><Relationship Id="rId28" Type="http://schemas.openxmlformats.org/officeDocument/2006/relationships/hyperlink" Target="https://www.cbd.int/doc/world/se/se-nbsap-v3-en.pdf" TargetMode="External"/><Relationship Id="rId36" Type="http://schemas.openxmlformats.org/officeDocument/2006/relationships/hyperlink" Target="https://www.cbd.int/doc/world/cv/cv-nbsap-v2-en.pdf" TargetMode="External"/><Relationship Id="rId49" Type="http://schemas.openxmlformats.org/officeDocument/2006/relationships/hyperlink" Target="https://www.cbd.int/doc/world/ml/ml-nbsap-v2-fr.pdf" TargetMode="External"/><Relationship Id="rId57" Type="http://schemas.openxmlformats.org/officeDocument/2006/relationships/hyperlink" Target="https://www.cbd.int/doc/world/pe/pe-nbsap-v2-e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B15" sqref="B15"/>
    </sheetView>
  </sheetViews>
  <sheetFormatPr defaultRowHeight="15" x14ac:dyDescent="0.25"/>
  <cols>
    <col min="1" max="1" width="176.140625" style="99" customWidth="1"/>
    <col min="2" max="16384" width="9.140625" style="99"/>
  </cols>
  <sheetData>
    <row r="1" spans="1:1" ht="18.75" x14ac:dyDescent="0.3">
      <c r="A1" s="160" t="s">
        <v>271</v>
      </c>
    </row>
    <row r="2" spans="1:1" x14ac:dyDescent="0.25">
      <c r="A2" s="161"/>
    </row>
    <row r="3" spans="1:1" s="158" customFormat="1" ht="45" x14ac:dyDescent="0.25">
      <c r="A3" s="133" t="s">
        <v>507</v>
      </c>
    </row>
    <row r="4" spans="1:1" s="158" customFormat="1" ht="60" x14ac:dyDescent="0.25">
      <c r="A4" s="100" t="s">
        <v>504</v>
      </c>
    </row>
    <row r="5" spans="1:1" ht="51.75" customHeight="1" x14ac:dyDescent="0.25">
      <c r="A5" s="133" t="s">
        <v>515</v>
      </c>
    </row>
    <row r="6" spans="1:1" x14ac:dyDescent="0.25">
      <c r="A6" s="162"/>
    </row>
    <row r="7" spans="1:1" x14ac:dyDescent="0.25">
      <c r="A7" s="161"/>
    </row>
    <row r="8" spans="1:1" x14ac:dyDescent="0.25">
      <c r="A8" s="163"/>
    </row>
    <row r="9" spans="1:1" ht="30" x14ac:dyDescent="0.25">
      <c r="A9" s="164" t="s">
        <v>469</v>
      </c>
    </row>
    <row r="10" spans="1:1" x14ac:dyDescent="0.25">
      <c r="A10" s="164" t="s">
        <v>505</v>
      </c>
    </row>
    <row r="11" spans="1:1" x14ac:dyDescent="0.25">
      <c r="A11" s="165" t="s">
        <v>506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A37" sqref="A37"/>
    </sheetView>
  </sheetViews>
  <sheetFormatPr defaultRowHeight="15" x14ac:dyDescent="0.25"/>
  <cols>
    <col min="1" max="1" width="46" style="87" customWidth="1"/>
    <col min="2" max="2" width="16.85546875" style="87" customWidth="1"/>
    <col min="3" max="3" width="17.5703125" style="87" customWidth="1"/>
    <col min="4" max="16384" width="9.140625" style="87"/>
  </cols>
  <sheetData>
    <row r="1" spans="1:9" ht="33" thickBot="1" x14ac:dyDescent="0.3">
      <c r="A1" s="85" t="s">
        <v>351</v>
      </c>
      <c r="B1" s="86" t="s">
        <v>407</v>
      </c>
      <c r="C1" s="86" t="s">
        <v>256</v>
      </c>
    </row>
    <row r="2" spans="1:9" x14ac:dyDescent="0.25">
      <c r="A2" s="88" t="s">
        <v>353</v>
      </c>
      <c r="B2" s="107">
        <f>'Priority Actions'!C40</f>
        <v>660789.23876044992</v>
      </c>
      <c r="C2" s="89">
        <f>B2/134918845</f>
        <v>4.8976793327903893E-3</v>
      </c>
    </row>
    <row r="3" spans="1:9" x14ac:dyDescent="0.25">
      <c r="A3" s="191" t="s">
        <v>496</v>
      </c>
      <c r="B3" s="107">
        <f>'GEF projects'!B70</f>
        <v>330545.408</v>
      </c>
      <c r="C3" s="89">
        <f t="shared" ref="C3:C4" si="0">B3/134918845</f>
        <v>2.4499572909922255E-3</v>
      </c>
    </row>
    <row r="4" spans="1:9" x14ac:dyDescent="0.25">
      <c r="A4" s="191" t="s">
        <v>497</v>
      </c>
      <c r="B4" s="107">
        <f>NBSAPs!D84</f>
        <v>3464818.5931168506</v>
      </c>
      <c r="C4" s="89">
        <f t="shared" si="0"/>
        <v>2.5680760853806973E-2</v>
      </c>
      <c r="I4" s="89"/>
    </row>
    <row r="5" spans="1:9" x14ac:dyDescent="0.25">
      <c r="A5" s="90"/>
      <c r="B5" s="107"/>
      <c r="C5" s="120"/>
    </row>
    <row r="6" spans="1:9" x14ac:dyDescent="0.25">
      <c r="A6" s="91" t="s">
        <v>352</v>
      </c>
      <c r="B6" s="108">
        <f>B2+B3+B4</f>
        <v>4456153.2398773003</v>
      </c>
      <c r="C6" s="92">
        <f>B6/134918845</f>
        <v>3.3028397477589587E-2</v>
      </c>
    </row>
    <row r="7" spans="1:9" ht="15.75" thickBot="1" x14ac:dyDescent="0.3">
      <c r="A7" s="9" t="s">
        <v>451</v>
      </c>
      <c r="B7" s="93"/>
      <c r="C7" s="89">
        <v>0.14885107414016183</v>
      </c>
    </row>
    <row r="8" spans="1:9" ht="15.75" thickBot="1" x14ac:dyDescent="0.3">
      <c r="A8" s="94" t="s">
        <v>350</v>
      </c>
      <c r="B8" s="95"/>
      <c r="C8" s="114">
        <f>C7+C6</f>
        <v>0.18187947161775142</v>
      </c>
    </row>
    <row r="9" spans="1:9" x14ac:dyDescent="0.25">
      <c r="A9" s="96"/>
      <c r="B9" s="97"/>
      <c r="C9" s="98"/>
    </row>
    <row r="10" spans="1:9" x14ac:dyDescent="0.25">
      <c r="B10" s="97"/>
    </row>
    <row r="11" spans="1:9" x14ac:dyDescent="0.25">
      <c r="B11" s="97"/>
    </row>
  </sheetData>
  <pageMargins left="0.7" right="0.7"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9"/>
  <sheetViews>
    <sheetView topLeftCell="A16" zoomScaleNormal="100" workbookViewId="0">
      <selection activeCell="F11" sqref="F11"/>
    </sheetView>
  </sheetViews>
  <sheetFormatPr defaultRowHeight="15" x14ac:dyDescent="0.25"/>
  <cols>
    <col min="1" max="1" width="20.5703125" style="37" customWidth="1"/>
    <col min="2" max="2" width="78.5703125" style="2" customWidth="1"/>
    <col min="3" max="3" width="11.5703125" style="5" customWidth="1"/>
    <col min="4" max="4" width="27.42578125" customWidth="1"/>
  </cols>
  <sheetData>
    <row r="1" spans="1:8 16383:16383" ht="48" thickBot="1" x14ac:dyDescent="0.3">
      <c r="A1" s="3" t="s">
        <v>244</v>
      </c>
      <c r="B1" s="3" t="s">
        <v>249</v>
      </c>
      <c r="C1" s="74" t="s">
        <v>355</v>
      </c>
    </row>
    <row r="2" spans="1:8 16383:16383" s="115" customFormat="1" x14ac:dyDescent="0.25">
      <c r="A2" s="68" t="s">
        <v>13</v>
      </c>
      <c r="B2" s="68" t="s">
        <v>508</v>
      </c>
      <c r="C2" s="72">
        <f>newAllCountry!J11</f>
        <v>126727.60372999997</v>
      </c>
    </row>
    <row r="3" spans="1:8 16383:16383" ht="26.25" x14ac:dyDescent="0.25">
      <c r="A3" s="36" t="s">
        <v>117</v>
      </c>
      <c r="B3" s="34" t="s">
        <v>486</v>
      </c>
      <c r="C3" s="70">
        <f>7400-1170-1020</f>
        <v>5210</v>
      </c>
    </row>
    <row r="4" spans="1:8 16383:16383" ht="40.5" customHeight="1" x14ac:dyDescent="0.25">
      <c r="A4" s="36" t="s">
        <v>122</v>
      </c>
      <c r="B4" s="34" t="s">
        <v>518</v>
      </c>
      <c r="C4" s="70">
        <v>30000</v>
      </c>
      <c r="D4" s="111"/>
    </row>
    <row r="5" spans="1:8 16383:16383" s="115" customFormat="1" ht="39" customHeight="1" x14ac:dyDescent="0.25">
      <c r="A5" s="36" t="s">
        <v>38</v>
      </c>
      <c r="B5" s="221" t="s">
        <v>509</v>
      </c>
      <c r="C5" s="70">
        <f>newAllCountry!H38</f>
        <v>2015.9208644999999</v>
      </c>
      <c r="D5" s="111"/>
    </row>
    <row r="6" spans="1:8 16383:16383" ht="54" customHeight="1" x14ac:dyDescent="0.25">
      <c r="A6" s="36" t="s">
        <v>234</v>
      </c>
      <c r="B6" s="34" t="s">
        <v>420</v>
      </c>
      <c r="C6" s="71">
        <f>10326.19+5000</f>
        <v>15326.19</v>
      </c>
    </row>
    <row r="7" spans="1:8 16383:16383" ht="26.25" x14ac:dyDescent="0.25">
      <c r="A7" s="36" t="s">
        <v>24</v>
      </c>
      <c r="B7" s="34" t="s">
        <v>485</v>
      </c>
      <c r="C7" s="70">
        <f>2000-1716.17</f>
        <v>283.82999999999993</v>
      </c>
      <c r="F7" s="112"/>
    </row>
    <row r="8" spans="1:8 16383:16383" ht="39" x14ac:dyDescent="0.25">
      <c r="A8" s="36" t="s">
        <v>18</v>
      </c>
      <c r="B8" s="36" t="s">
        <v>484</v>
      </c>
      <c r="C8" s="70">
        <f>23129.6-9948.5</f>
        <v>13181.099999999999</v>
      </c>
      <c r="H8" s="33"/>
    </row>
    <row r="9" spans="1:8 16383:16383" x14ac:dyDescent="0.25">
      <c r="A9" s="36" t="s">
        <v>145</v>
      </c>
      <c r="B9" s="34" t="s">
        <v>421</v>
      </c>
      <c r="C9" s="70">
        <f>newAllCountry!H55</f>
        <v>258.18070994999999</v>
      </c>
      <c r="D9" s="33"/>
      <c r="E9" s="33"/>
    </row>
    <row r="10" spans="1:8 16383:16383" s="171" customFormat="1" ht="26.25" customHeight="1" x14ac:dyDescent="0.25">
      <c r="A10" s="169" t="s">
        <v>104</v>
      </c>
      <c r="B10" s="170" t="s">
        <v>422</v>
      </c>
      <c r="C10" s="173">
        <f>newAllCountry!H62</f>
        <v>6799.2412960000001</v>
      </c>
      <c r="XFC10" s="172">
        <f>SUM(C10:XFB10)</f>
        <v>6799.2412960000001</v>
      </c>
    </row>
    <row r="11" spans="1:8 16383:16383" ht="39" x14ac:dyDescent="0.25">
      <c r="A11" s="36" t="s">
        <v>189</v>
      </c>
      <c r="B11" s="34" t="s">
        <v>483</v>
      </c>
      <c r="C11" s="70">
        <f>newAllCountry!H63</f>
        <v>8702.7392099999961</v>
      </c>
    </row>
    <row r="12" spans="1:8 16383:16383" x14ac:dyDescent="0.25">
      <c r="A12" s="36" t="s">
        <v>152</v>
      </c>
      <c r="B12" s="34" t="s">
        <v>423</v>
      </c>
      <c r="C12" s="71">
        <v>2000</v>
      </c>
    </row>
    <row r="13" spans="1:8 16383:16383" ht="26.25" x14ac:dyDescent="0.25">
      <c r="A13" s="36" t="s">
        <v>184</v>
      </c>
      <c r="B13" s="34" t="s">
        <v>424</v>
      </c>
      <c r="C13" s="71">
        <v>6492.76</v>
      </c>
    </row>
    <row r="14" spans="1:8 16383:16383" ht="26.25" customHeight="1" x14ac:dyDescent="0.25">
      <c r="A14" s="36" t="s">
        <v>418</v>
      </c>
      <c r="B14" s="34" t="s">
        <v>439</v>
      </c>
      <c r="C14" s="70">
        <f>newAllCountry!H74</f>
        <v>1167.3675079999996</v>
      </c>
      <c r="D14" s="33"/>
      <c r="E14" s="33"/>
      <c r="F14" s="33"/>
    </row>
    <row r="15" spans="1:8 16383:16383" ht="26.25" x14ac:dyDescent="0.25">
      <c r="A15" s="36" t="s">
        <v>10</v>
      </c>
      <c r="B15" s="34" t="s">
        <v>425</v>
      </c>
      <c r="C15" s="71">
        <v>20449</v>
      </c>
      <c r="D15" s="33"/>
      <c r="E15" s="33"/>
      <c r="F15" s="33"/>
      <c r="G15" s="33"/>
      <c r="H15" s="33"/>
    </row>
    <row r="16" spans="1:8 16383:16383" x14ac:dyDescent="0.25">
      <c r="A16" s="36" t="s">
        <v>186</v>
      </c>
      <c r="B16" s="34" t="s">
        <v>426</v>
      </c>
      <c r="C16" s="71">
        <v>200</v>
      </c>
    </row>
    <row r="17" spans="1:10" x14ac:dyDescent="0.25">
      <c r="A17" s="36" t="s">
        <v>228</v>
      </c>
      <c r="B17" s="34" t="s">
        <v>444</v>
      </c>
      <c r="C17" s="71">
        <v>975.49</v>
      </c>
    </row>
    <row r="18" spans="1:10" ht="26.25" x14ac:dyDescent="0.25">
      <c r="A18" s="36" t="s">
        <v>75</v>
      </c>
      <c r="B18" s="34" t="s">
        <v>427</v>
      </c>
      <c r="C18" s="71">
        <v>368</v>
      </c>
    </row>
    <row r="19" spans="1:10" x14ac:dyDescent="0.25">
      <c r="A19" s="36" t="s">
        <v>187</v>
      </c>
      <c r="B19" s="34" t="s">
        <v>428</v>
      </c>
      <c r="C19" s="71">
        <f>newAllCountry!H124</f>
        <v>144.88195040000005</v>
      </c>
    </row>
    <row r="20" spans="1:10" ht="51.75" x14ac:dyDescent="0.25">
      <c r="A20" s="36" t="s">
        <v>146</v>
      </c>
      <c r="B20" s="34" t="s">
        <v>429</v>
      </c>
      <c r="C20" s="72">
        <f>156.54+2939.43</f>
        <v>3095.97</v>
      </c>
    </row>
    <row r="21" spans="1:10" ht="26.25" x14ac:dyDescent="0.25">
      <c r="A21" s="36" t="s">
        <v>20</v>
      </c>
      <c r="B21" s="34" t="s">
        <v>430</v>
      </c>
      <c r="C21" s="70">
        <f>newAllCountry!H126</f>
        <v>5748.4823989999995</v>
      </c>
    </row>
    <row r="22" spans="1:10" ht="26.25" x14ac:dyDescent="0.25">
      <c r="A22" s="36" t="s">
        <v>136</v>
      </c>
      <c r="B22" s="34" t="s">
        <v>482</v>
      </c>
      <c r="C22" s="71">
        <f>560-160</f>
        <v>400</v>
      </c>
    </row>
    <row r="23" spans="1:10" ht="51.75" x14ac:dyDescent="0.25">
      <c r="A23" s="73" t="s">
        <v>74</v>
      </c>
      <c r="B23" s="68" t="s">
        <v>510</v>
      </c>
      <c r="C23" s="5">
        <f>newAllCountry!H140</f>
        <v>106.78819370000001</v>
      </c>
    </row>
    <row r="24" spans="1:10" ht="64.5" x14ac:dyDescent="0.25">
      <c r="A24" s="36" t="s">
        <v>2</v>
      </c>
      <c r="B24" s="34" t="s">
        <v>479</v>
      </c>
      <c r="C24" s="168">
        <v>34415.858</v>
      </c>
      <c r="J24" s="119"/>
    </row>
    <row r="25" spans="1:10" x14ac:dyDescent="0.25">
      <c r="A25" s="36" t="s">
        <v>194</v>
      </c>
      <c r="B25" s="34" t="s">
        <v>431</v>
      </c>
      <c r="C25" s="105">
        <f>newAllCountry!H145</f>
        <v>100022.97974999997</v>
      </c>
    </row>
    <row r="26" spans="1:10" ht="26.25" x14ac:dyDescent="0.25">
      <c r="A26" s="36" t="s">
        <v>100</v>
      </c>
      <c r="B26" s="34" t="s">
        <v>432</v>
      </c>
      <c r="C26" s="105">
        <f>newAllCountry!H146</f>
        <v>1467.7455196000001</v>
      </c>
    </row>
    <row r="27" spans="1:10" ht="26.25" x14ac:dyDescent="0.25">
      <c r="A27" s="36" t="s">
        <v>46</v>
      </c>
      <c r="B27" s="34" t="s">
        <v>433</v>
      </c>
      <c r="C27" s="71">
        <f>25000</f>
        <v>25000</v>
      </c>
      <c r="D27" s="33"/>
    </row>
    <row r="28" spans="1:10" ht="26.25" x14ac:dyDescent="0.25">
      <c r="A28" s="36" t="s">
        <v>32</v>
      </c>
      <c r="B28" s="34" t="s">
        <v>443</v>
      </c>
      <c r="C28" s="70">
        <v>7380.28</v>
      </c>
    </row>
    <row r="29" spans="1:10" ht="26.25" x14ac:dyDescent="0.25">
      <c r="A29" s="36" t="s">
        <v>161</v>
      </c>
      <c r="B29" s="34" t="s">
        <v>480</v>
      </c>
      <c r="C29" s="71">
        <v>374</v>
      </c>
    </row>
    <row r="30" spans="1:10" x14ac:dyDescent="0.25">
      <c r="A30" s="36" t="s">
        <v>53</v>
      </c>
      <c r="B30" s="34" t="s">
        <v>434</v>
      </c>
      <c r="C30" s="71">
        <v>4000</v>
      </c>
    </row>
    <row r="31" spans="1:10" ht="51.75" x14ac:dyDescent="0.25">
      <c r="A31" s="36" t="s">
        <v>107</v>
      </c>
      <c r="B31" s="34" t="s">
        <v>435</v>
      </c>
      <c r="C31" s="71">
        <f>newAllCountry!H178</f>
        <v>1307.4209288</v>
      </c>
    </row>
    <row r="32" spans="1:10" ht="26.25" x14ac:dyDescent="0.25">
      <c r="A32" s="36" t="s">
        <v>188</v>
      </c>
      <c r="B32" s="34" t="s">
        <v>481</v>
      </c>
      <c r="C32" s="70">
        <f>110939.5-11614.33</f>
        <v>99325.17</v>
      </c>
    </row>
    <row r="33" spans="1:6" x14ac:dyDescent="0.25">
      <c r="A33" s="36" t="s">
        <v>11</v>
      </c>
      <c r="B33" s="34" t="s">
        <v>436</v>
      </c>
      <c r="C33" s="70">
        <v>6000</v>
      </c>
      <c r="D33" s="33"/>
      <c r="E33" s="33"/>
      <c r="F33" s="33"/>
    </row>
    <row r="34" spans="1:6" x14ac:dyDescent="0.25">
      <c r="A34" s="36" t="s">
        <v>41</v>
      </c>
      <c r="B34" s="34" t="s">
        <v>437</v>
      </c>
      <c r="C34" s="70">
        <f>newAllCountry!H231</f>
        <v>65950.489489999993</v>
      </c>
      <c r="D34" s="33"/>
      <c r="E34" s="33"/>
      <c r="F34" s="33"/>
    </row>
    <row r="35" spans="1:6" x14ac:dyDescent="0.25">
      <c r="A35" s="36" t="s">
        <v>21</v>
      </c>
      <c r="B35" s="34" t="s">
        <v>438</v>
      </c>
      <c r="C35" s="105">
        <v>19761.913349999999</v>
      </c>
    </row>
    <row r="36" spans="1:6" ht="51.75" x14ac:dyDescent="0.25">
      <c r="A36" s="36" t="s">
        <v>121</v>
      </c>
      <c r="B36" s="34" t="s">
        <v>440</v>
      </c>
      <c r="C36" s="71">
        <v>37000</v>
      </c>
    </row>
    <row r="37" spans="1:6" x14ac:dyDescent="0.25">
      <c r="A37" s="36" t="s">
        <v>48</v>
      </c>
      <c r="B37" s="34" t="s">
        <v>441</v>
      </c>
      <c r="C37" s="71">
        <f>newAllCountry!H242</f>
        <v>3374.2299999999987</v>
      </c>
    </row>
    <row r="38" spans="1:6" ht="15" customHeight="1" x14ac:dyDescent="0.25">
      <c r="A38" s="73" t="s">
        <v>176</v>
      </c>
      <c r="B38" s="34" t="s">
        <v>442</v>
      </c>
      <c r="C38" s="70">
        <f>newAllCountry!H246</f>
        <v>5755.6058604999998</v>
      </c>
    </row>
    <row r="39" spans="1:6" ht="15.75" thickBot="1" x14ac:dyDescent="0.3">
      <c r="B39" s="4"/>
    </row>
    <row r="40" spans="1:6" ht="15.75" thickBot="1" x14ac:dyDescent="0.3">
      <c r="B40" s="174" t="s">
        <v>251</v>
      </c>
      <c r="C40" s="106">
        <f>SUM(C2:C38)</f>
        <v>660789.23876044992</v>
      </c>
    </row>
    <row r="43" spans="1:6" ht="15.75" thickBot="1" x14ac:dyDescent="0.3">
      <c r="A43" s="166" t="s">
        <v>244</v>
      </c>
      <c r="B43" s="167" t="s">
        <v>340</v>
      </c>
    </row>
    <row r="44" spans="1:6" ht="39" x14ac:dyDescent="0.25">
      <c r="A44" s="82" t="s">
        <v>235</v>
      </c>
      <c r="B44" s="36" t="s">
        <v>478</v>
      </c>
    </row>
    <row r="45" spans="1:6" x14ac:dyDescent="0.25">
      <c r="A45" s="73" t="s">
        <v>23</v>
      </c>
      <c r="B45" s="34" t="s">
        <v>254</v>
      </c>
      <c r="C45" s="35"/>
    </row>
    <row r="46" spans="1:6" x14ac:dyDescent="0.25">
      <c r="A46" s="73" t="s">
        <v>226</v>
      </c>
      <c r="B46" s="34" t="s">
        <v>282</v>
      </c>
    </row>
    <row r="47" spans="1:6" x14ac:dyDescent="0.25">
      <c r="A47" s="73" t="s">
        <v>26</v>
      </c>
      <c r="B47" s="63" t="s">
        <v>276</v>
      </c>
      <c r="C47" s="102"/>
    </row>
    <row r="48" spans="1:6" ht="26.25" x14ac:dyDescent="0.25">
      <c r="A48" s="73" t="s">
        <v>12</v>
      </c>
      <c r="B48" s="36" t="s">
        <v>274</v>
      </c>
      <c r="C48" s="35"/>
    </row>
    <row r="49" spans="1:3" ht="26.25" x14ac:dyDescent="0.25">
      <c r="A49" s="73" t="s">
        <v>52</v>
      </c>
      <c r="B49" s="36" t="s">
        <v>275</v>
      </c>
      <c r="C49" s="35"/>
    </row>
    <row r="50" spans="1:3" ht="39" x14ac:dyDescent="0.25">
      <c r="A50" s="73" t="s">
        <v>86</v>
      </c>
      <c r="B50" s="36" t="s">
        <v>477</v>
      </c>
    </row>
    <row r="51" spans="1:3" x14ac:dyDescent="0.25">
      <c r="A51" s="73" t="s">
        <v>152</v>
      </c>
      <c r="B51" s="36" t="s">
        <v>257</v>
      </c>
    </row>
    <row r="52" spans="1:3" ht="26.25" x14ac:dyDescent="0.25">
      <c r="A52" s="73" t="s">
        <v>68</v>
      </c>
      <c r="B52" s="34" t="s">
        <v>252</v>
      </c>
    </row>
    <row r="53" spans="1:3" x14ac:dyDescent="0.25">
      <c r="A53" s="73" t="s">
        <v>28</v>
      </c>
      <c r="B53" s="68" t="s">
        <v>255</v>
      </c>
    </row>
    <row r="54" spans="1:3" x14ac:dyDescent="0.25">
      <c r="A54" s="73" t="s">
        <v>277</v>
      </c>
      <c r="B54" s="36" t="s">
        <v>476</v>
      </c>
    </row>
    <row r="55" spans="1:3" ht="26.25" x14ac:dyDescent="0.25">
      <c r="A55" s="73" t="s">
        <v>16</v>
      </c>
      <c r="B55" s="36" t="s">
        <v>278</v>
      </c>
      <c r="C55" s="35"/>
    </row>
    <row r="56" spans="1:3" ht="26.25" x14ac:dyDescent="0.25">
      <c r="A56" s="73" t="s">
        <v>17</v>
      </c>
      <c r="B56" s="36" t="s">
        <v>475</v>
      </c>
      <c r="C56" s="35"/>
    </row>
    <row r="57" spans="1:3" ht="38.25" x14ac:dyDescent="0.25">
      <c r="A57" s="73" t="s">
        <v>89</v>
      </c>
      <c r="B57" s="67" t="s">
        <v>474</v>
      </c>
      <c r="C57" s="35"/>
    </row>
    <row r="58" spans="1:3" ht="39" customHeight="1" x14ac:dyDescent="0.25">
      <c r="A58" s="73" t="s">
        <v>46</v>
      </c>
      <c r="B58" s="36" t="s">
        <v>473</v>
      </c>
      <c r="C58" s="35"/>
    </row>
    <row r="59" spans="1:3" x14ac:dyDescent="0.25">
      <c r="A59" s="73" t="s">
        <v>82</v>
      </c>
      <c r="B59" s="36" t="s">
        <v>472</v>
      </c>
    </row>
    <row r="60" spans="1:3" ht="26.25" x14ac:dyDescent="0.25">
      <c r="A60" s="73" t="s">
        <v>202</v>
      </c>
      <c r="B60" s="36" t="s">
        <v>471</v>
      </c>
    </row>
    <row r="61" spans="1:3" x14ac:dyDescent="0.25">
      <c r="A61" s="73" t="s">
        <v>162</v>
      </c>
      <c r="B61" s="36" t="s">
        <v>408</v>
      </c>
    </row>
    <row r="62" spans="1:3" ht="39" x14ac:dyDescent="0.25">
      <c r="A62" s="73" t="s">
        <v>15</v>
      </c>
      <c r="B62" s="36" t="s">
        <v>409</v>
      </c>
    </row>
    <row r="63" spans="1:3" s="115" customFormat="1" ht="27" customHeight="1" x14ac:dyDescent="0.25">
      <c r="A63" s="4" t="s">
        <v>511</v>
      </c>
      <c r="B63" s="79" t="s">
        <v>253</v>
      </c>
      <c r="C63" s="35"/>
    </row>
    <row r="64" spans="1:3" ht="39" x14ac:dyDescent="0.25">
      <c r="A64" s="73" t="s">
        <v>133</v>
      </c>
      <c r="B64" s="34" t="s">
        <v>250</v>
      </c>
      <c r="C64" s="35"/>
    </row>
    <row r="65" spans="1:3" x14ac:dyDescent="0.25">
      <c r="A65" s="83" t="s">
        <v>67</v>
      </c>
      <c r="B65" s="36" t="s">
        <v>279</v>
      </c>
      <c r="C65" s="35"/>
    </row>
    <row r="66" spans="1:3" x14ac:dyDescent="0.25">
      <c r="A66" s="82" t="s">
        <v>114</v>
      </c>
      <c r="B66" s="36" t="s">
        <v>280</v>
      </c>
    </row>
    <row r="67" spans="1:3" ht="26.25" x14ac:dyDescent="0.25">
      <c r="A67" s="36" t="s">
        <v>182</v>
      </c>
      <c r="B67" s="34" t="s">
        <v>470</v>
      </c>
    </row>
    <row r="68" spans="1:3" ht="26.25" x14ac:dyDescent="0.25">
      <c r="A68" s="84" t="s">
        <v>147</v>
      </c>
      <c r="B68" s="36" t="s">
        <v>248</v>
      </c>
      <c r="C68" s="35"/>
    </row>
    <row r="69" spans="1:3" x14ac:dyDescent="0.25">
      <c r="A69" s="73" t="s">
        <v>14</v>
      </c>
      <c r="B69" s="36" t="s">
        <v>281</v>
      </c>
    </row>
  </sheetData>
  <sortState ref="A48:B75">
    <sortCondition ref="A48:A75"/>
  </sortState>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4" workbookViewId="0">
      <selection activeCell="M44" sqref="M44"/>
    </sheetView>
  </sheetViews>
  <sheetFormatPr defaultRowHeight="15" x14ac:dyDescent="0.25"/>
  <cols>
    <col min="1" max="1" width="30.5703125" style="12" bestFit="1" customWidth="1"/>
    <col min="2" max="2" width="12.7109375" style="123" customWidth="1"/>
    <col min="3" max="3" width="5.5703125" style="42" customWidth="1"/>
    <col min="4" max="11" width="5.5703125" style="2" customWidth="1"/>
    <col min="12" max="12" width="49.28515625" style="4" customWidth="1"/>
    <col min="13" max="13" width="39.42578125" style="191" customWidth="1"/>
    <col min="14" max="14" width="29.5703125" style="78" customWidth="1"/>
    <col min="15" max="16384" width="9.140625" style="2"/>
  </cols>
  <sheetData>
    <row r="1" spans="1:20" ht="33" thickBot="1" x14ac:dyDescent="0.3">
      <c r="A1" s="11" t="s">
        <v>244</v>
      </c>
      <c r="B1" s="122" t="s">
        <v>354</v>
      </c>
      <c r="C1" s="44" t="s">
        <v>245</v>
      </c>
      <c r="D1" s="14"/>
      <c r="E1" s="14"/>
      <c r="F1" s="14"/>
      <c r="G1" s="14"/>
      <c r="H1" s="14"/>
      <c r="I1" s="14"/>
      <c r="J1" s="14"/>
      <c r="K1" s="14"/>
      <c r="L1" s="1" t="s">
        <v>246</v>
      </c>
      <c r="M1" s="1" t="s">
        <v>530</v>
      </c>
      <c r="N1" s="1" t="s">
        <v>247</v>
      </c>
    </row>
    <row r="2" spans="1:20" x14ac:dyDescent="0.25">
      <c r="A2" s="66" t="s">
        <v>235</v>
      </c>
      <c r="B2" s="236">
        <v>12281.93</v>
      </c>
      <c r="C2" s="50">
        <v>4839</v>
      </c>
      <c r="D2" s="7"/>
      <c r="E2" s="7"/>
      <c r="F2" s="7"/>
      <c r="G2" s="7"/>
      <c r="H2" s="7"/>
      <c r="I2" s="7"/>
      <c r="J2" s="7"/>
      <c r="K2" s="7"/>
      <c r="L2" s="62" t="s">
        <v>258</v>
      </c>
      <c r="M2" s="253" t="s">
        <v>524</v>
      </c>
      <c r="N2" s="75"/>
      <c r="Q2" s="267"/>
      <c r="R2" s="268"/>
      <c r="S2" s="269"/>
      <c r="T2" s="267"/>
    </row>
    <row r="3" spans="1:20" x14ac:dyDescent="0.25">
      <c r="A3" s="48" t="s">
        <v>95</v>
      </c>
      <c r="B3" s="236">
        <v>9050</v>
      </c>
      <c r="C3" s="45">
        <v>4589</v>
      </c>
      <c r="D3" s="7"/>
      <c r="E3" s="7"/>
      <c r="F3" s="7"/>
      <c r="G3" s="7"/>
      <c r="H3" s="7"/>
      <c r="I3" s="7"/>
      <c r="J3" s="7"/>
      <c r="K3" s="7"/>
      <c r="L3" s="62" t="s">
        <v>258</v>
      </c>
      <c r="M3" s="253" t="s">
        <v>524</v>
      </c>
      <c r="N3" s="6"/>
      <c r="O3" s="43"/>
      <c r="Q3" s="159"/>
      <c r="R3" s="256"/>
      <c r="S3" s="265"/>
      <c r="T3" s="159"/>
    </row>
    <row r="4" spans="1:20" x14ac:dyDescent="0.25">
      <c r="A4" s="48" t="s">
        <v>206</v>
      </c>
      <c r="B4" s="236">
        <v>30.35</v>
      </c>
      <c r="C4" s="45">
        <v>9402</v>
      </c>
      <c r="D4" s="8"/>
      <c r="E4" s="8"/>
      <c r="F4" s="8"/>
      <c r="G4" s="8"/>
      <c r="H4" s="8"/>
      <c r="I4" s="8"/>
      <c r="J4" s="8"/>
      <c r="K4" s="8"/>
      <c r="L4" s="64" t="s">
        <v>259</v>
      </c>
      <c r="M4" s="54" t="s">
        <v>525</v>
      </c>
      <c r="N4" s="6"/>
      <c r="O4" s="43"/>
      <c r="Q4" s="159"/>
      <c r="R4" s="256"/>
      <c r="S4" s="265"/>
      <c r="T4" s="159"/>
    </row>
    <row r="5" spans="1:20" x14ac:dyDescent="0.25">
      <c r="A5" s="48" t="s">
        <v>117</v>
      </c>
      <c r="B5" s="237">
        <v>1020</v>
      </c>
      <c r="C5" s="45">
        <v>5099</v>
      </c>
      <c r="D5" s="7"/>
      <c r="E5" s="7"/>
      <c r="F5" s="7"/>
      <c r="G5" s="7"/>
      <c r="H5" s="7"/>
      <c r="I5" s="7"/>
      <c r="J5" s="7"/>
      <c r="K5" s="7"/>
      <c r="L5" s="62" t="s">
        <v>258</v>
      </c>
      <c r="M5" s="253" t="s">
        <v>524</v>
      </c>
      <c r="N5" s="6"/>
      <c r="O5" s="43"/>
      <c r="Q5" s="159"/>
      <c r="R5" s="256"/>
      <c r="S5" s="265"/>
      <c r="T5" s="159"/>
    </row>
    <row r="6" spans="1:20" x14ac:dyDescent="0.25">
      <c r="A6" s="59" t="s">
        <v>23</v>
      </c>
      <c r="B6" s="238">
        <v>200</v>
      </c>
      <c r="C6" s="45">
        <v>4468</v>
      </c>
      <c r="D6" s="43"/>
      <c r="E6" s="7"/>
      <c r="F6" s="7"/>
      <c r="G6" s="7"/>
      <c r="H6" s="7"/>
      <c r="I6" s="7"/>
      <c r="J6" s="7"/>
      <c r="K6" s="7"/>
      <c r="L6" s="231" t="s">
        <v>516</v>
      </c>
      <c r="M6" s="254" t="s">
        <v>524</v>
      </c>
      <c r="N6" s="232" t="s">
        <v>517</v>
      </c>
      <c r="O6" s="43"/>
      <c r="Q6" s="251"/>
      <c r="R6" s="252"/>
      <c r="S6" s="260"/>
      <c r="T6" s="251"/>
    </row>
    <row r="7" spans="1:20" x14ac:dyDescent="0.25">
      <c r="A7" s="59" t="s">
        <v>120</v>
      </c>
      <c r="B7" s="239">
        <v>80</v>
      </c>
      <c r="C7" s="45">
        <v>9383</v>
      </c>
      <c r="D7" s="43"/>
      <c r="E7" s="43"/>
      <c r="F7" s="43"/>
      <c r="G7" s="43"/>
      <c r="H7" s="43"/>
      <c r="I7" s="7"/>
      <c r="J7" s="7"/>
      <c r="K7" s="7"/>
      <c r="L7" s="60" t="s">
        <v>259</v>
      </c>
      <c r="M7" s="7" t="s">
        <v>526</v>
      </c>
      <c r="N7" s="6"/>
      <c r="O7" s="43"/>
      <c r="Q7" s="251"/>
      <c r="R7" s="252"/>
      <c r="S7" s="260"/>
      <c r="T7" s="251"/>
    </row>
    <row r="8" spans="1:20" x14ac:dyDescent="0.25">
      <c r="A8" s="48" t="s">
        <v>226</v>
      </c>
      <c r="B8" s="237">
        <f>3000-458.68</f>
        <v>2541.3200000000002</v>
      </c>
      <c r="C8" s="45">
        <v>6990</v>
      </c>
      <c r="D8" s="47"/>
      <c r="F8" s="7"/>
      <c r="G8" s="7"/>
      <c r="H8" s="7"/>
      <c r="I8" s="7"/>
      <c r="J8" s="7"/>
      <c r="K8" s="7"/>
      <c r="L8" s="62" t="s">
        <v>258</v>
      </c>
      <c r="M8" s="253" t="s">
        <v>525</v>
      </c>
      <c r="N8" s="76" t="s">
        <v>520</v>
      </c>
      <c r="O8" s="43"/>
      <c r="Q8" s="251"/>
      <c r="R8" s="252"/>
      <c r="S8" s="260"/>
      <c r="T8" s="251"/>
    </row>
    <row r="9" spans="1:20" x14ac:dyDescent="0.25">
      <c r="A9" s="48" t="s">
        <v>122</v>
      </c>
      <c r="B9" s="237">
        <f>650+10000+30000</f>
        <v>40650</v>
      </c>
      <c r="C9" s="233">
        <v>9664</v>
      </c>
      <c r="D9" s="45">
        <v>4834</v>
      </c>
      <c r="E9" s="45">
        <v>4859</v>
      </c>
      <c r="G9" s="7"/>
      <c r="H9" s="7"/>
      <c r="I9" s="7"/>
      <c r="J9" s="7"/>
      <c r="K9" s="7"/>
      <c r="L9" s="64" t="s">
        <v>335</v>
      </c>
      <c r="M9" s="250" t="s">
        <v>531</v>
      </c>
      <c r="N9" s="76"/>
      <c r="O9" s="43"/>
      <c r="Q9" s="251"/>
      <c r="R9" s="252"/>
      <c r="S9" s="266"/>
      <c r="T9" s="264"/>
    </row>
    <row r="10" spans="1:20" x14ac:dyDescent="0.25">
      <c r="A10" s="48" t="s">
        <v>234</v>
      </c>
      <c r="B10" s="237">
        <f>400+120</f>
        <v>520</v>
      </c>
      <c r="C10" s="45">
        <v>5210</v>
      </c>
      <c r="D10" s="45">
        <v>4800</v>
      </c>
      <c r="E10" s="15"/>
      <c r="F10" s="43"/>
      <c r="G10" s="46"/>
      <c r="H10" s="15"/>
      <c r="I10" s="15"/>
      <c r="J10" s="15"/>
      <c r="K10" s="15"/>
      <c r="L10" s="64" t="s">
        <v>513</v>
      </c>
      <c r="M10" s="54" t="s">
        <v>532</v>
      </c>
      <c r="N10" s="6"/>
      <c r="O10" s="43"/>
      <c r="Q10" s="251"/>
      <c r="R10" s="252"/>
      <c r="S10" s="260"/>
      <c r="T10" s="251"/>
    </row>
    <row r="11" spans="1:20" x14ac:dyDescent="0.25">
      <c r="A11" s="48" t="s">
        <v>26</v>
      </c>
      <c r="B11" s="237">
        <f>24430+1320+12100+400+2162+6000+4000+1000+5</f>
        <v>51417</v>
      </c>
      <c r="C11" s="49">
        <v>9403</v>
      </c>
      <c r="D11" s="49">
        <v>4896</v>
      </c>
      <c r="E11" s="49">
        <v>4868</v>
      </c>
      <c r="F11" s="49">
        <v>4811</v>
      </c>
      <c r="G11" s="49">
        <v>4662</v>
      </c>
      <c r="H11" s="49">
        <v>4655</v>
      </c>
      <c r="I11" s="49">
        <v>4653</v>
      </c>
      <c r="J11" s="121">
        <v>4651</v>
      </c>
      <c r="K11" s="49">
        <v>4526</v>
      </c>
      <c r="L11" s="223" t="s">
        <v>336</v>
      </c>
      <c r="M11" s="254" t="s">
        <v>538</v>
      </c>
      <c r="N11" s="159"/>
      <c r="O11" s="43"/>
      <c r="Q11" s="251"/>
      <c r="R11" s="252"/>
      <c r="S11" s="260"/>
      <c r="T11" s="251"/>
    </row>
    <row r="12" spans="1:20" x14ac:dyDescent="0.25">
      <c r="A12" s="13" t="s">
        <v>18</v>
      </c>
      <c r="B12" s="240">
        <f>4500+1630+700+500+720</f>
        <v>8050</v>
      </c>
      <c r="C12" s="233">
        <v>9441</v>
      </c>
      <c r="D12" s="49">
        <v>5680</v>
      </c>
      <c r="E12" s="49">
        <v>4916</v>
      </c>
      <c r="F12" s="49">
        <v>4849</v>
      </c>
      <c r="G12" s="49">
        <v>4772</v>
      </c>
      <c r="H12" s="16"/>
      <c r="I12" s="16"/>
      <c r="J12" s="16"/>
      <c r="K12" s="16"/>
      <c r="L12" s="223" t="s">
        <v>519</v>
      </c>
      <c r="M12" s="254" t="s">
        <v>537</v>
      </c>
      <c r="N12" s="75"/>
      <c r="Q12" s="251"/>
      <c r="R12" s="252"/>
      <c r="S12" s="260"/>
      <c r="T12" s="251"/>
    </row>
    <row r="13" spans="1:20" x14ac:dyDescent="0.25">
      <c r="A13" s="175" t="s">
        <v>109</v>
      </c>
      <c r="B13" s="241">
        <f>(267.9-130)+61.42+(38.13-30)+14</f>
        <v>221.45</v>
      </c>
      <c r="C13" s="49">
        <v>5062</v>
      </c>
      <c r="D13" s="55"/>
      <c r="E13" s="55"/>
      <c r="F13" s="176"/>
      <c r="G13" s="55"/>
      <c r="H13" s="16"/>
      <c r="I13" s="16"/>
      <c r="J13" s="16"/>
      <c r="K13" s="16"/>
      <c r="L13" s="61" t="s">
        <v>258</v>
      </c>
      <c r="M13" s="255" t="s">
        <v>524</v>
      </c>
      <c r="N13" s="77" t="s">
        <v>487</v>
      </c>
      <c r="Q13" s="251"/>
      <c r="R13" s="252"/>
      <c r="S13" s="260"/>
      <c r="T13" s="251"/>
    </row>
    <row r="14" spans="1:20" x14ac:dyDescent="0.25">
      <c r="A14" s="13" t="s">
        <v>9</v>
      </c>
      <c r="B14" s="240">
        <v>933</v>
      </c>
      <c r="C14" s="45">
        <v>5537</v>
      </c>
      <c r="D14" s="46"/>
      <c r="E14" s="15"/>
      <c r="F14" s="43"/>
      <c r="G14" s="46"/>
      <c r="H14" s="15"/>
      <c r="I14" s="15"/>
      <c r="J14" s="15"/>
      <c r="K14" s="15"/>
      <c r="L14" s="61" t="s">
        <v>258</v>
      </c>
      <c r="M14" s="250" t="s">
        <v>525</v>
      </c>
      <c r="N14" s="75"/>
      <c r="Q14" s="251"/>
      <c r="R14" s="252"/>
      <c r="S14" s="260"/>
      <c r="T14" s="251"/>
    </row>
    <row r="15" spans="1:20" x14ac:dyDescent="0.25">
      <c r="A15" s="13" t="s">
        <v>145</v>
      </c>
      <c r="B15" s="240">
        <v>10</v>
      </c>
      <c r="C15" s="45">
        <v>4836</v>
      </c>
      <c r="D15" s="46"/>
      <c r="E15" s="17"/>
      <c r="F15" s="43"/>
      <c r="G15" s="46"/>
      <c r="H15" s="17"/>
      <c r="I15" s="17"/>
      <c r="J15" s="17"/>
      <c r="K15" s="17"/>
      <c r="L15" s="61" t="s">
        <v>258</v>
      </c>
      <c r="M15" s="251" t="s">
        <v>524</v>
      </c>
      <c r="N15" s="75"/>
      <c r="Q15" s="251"/>
      <c r="R15" s="252"/>
      <c r="S15" s="260"/>
      <c r="T15" s="251"/>
    </row>
    <row r="16" spans="1:20" x14ac:dyDescent="0.25">
      <c r="A16" s="10" t="s">
        <v>12</v>
      </c>
      <c r="B16" s="240">
        <v>1150</v>
      </c>
      <c r="C16" s="50">
        <v>4846</v>
      </c>
      <c r="D16" s="17"/>
      <c r="E16" s="17"/>
      <c r="F16" s="43"/>
      <c r="G16" s="46"/>
      <c r="H16" s="17"/>
      <c r="I16" s="17"/>
      <c r="J16" s="17"/>
      <c r="K16" s="17"/>
      <c r="L16" s="61" t="s">
        <v>258</v>
      </c>
      <c r="M16" s="251" t="s">
        <v>524</v>
      </c>
      <c r="N16" s="75"/>
      <c r="Q16" s="251"/>
      <c r="R16" s="252"/>
      <c r="S16" s="260"/>
      <c r="T16" s="251"/>
    </row>
    <row r="17" spans="1:20" ht="30" x14ac:dyDescent="0.25">
      <c r="A17" s="13" t="s">
        <v>189</v>
      </c>
      <c r="B17" s="240">
        <v>20000</v>
      </c>
      <c r="C17" s="101">
        <v>4640</v>
      </c>
      <c r="D17" s="46"/>
      <c r="E17" s="15"/>
      <c r="F17" s="43"/>
      <c r="G17" s="46"/>
      <c r="H17" s="15"/>
      <c r="I17" s="15"/>
      <c r="J17" s="15"/>
      <c r="K17" s="15"/>
      <c r="L17" s="61" t="s">
        <v>258</v>
      </c>
      <c r="M17" s="250" t="s">
        <v>527</v>
      </c>
      <c r="N17" s="75"/>
      <c r="Q17" s="251"/>
      <c r="R17" s="252"/>
      <c r="S17" s="260"/>
      <c r="T17" s="251"/>
    </row>
    <row r="18" spans="1:20" x14ac:dyDescent="0.25">
      <c r="A18" s="13" t="s">
        <v>152</v>
      </c>
      <c r="B18" s="240">
        <v>450</v>
      </c>
      <c r="C18" s="45">
        <v>5073</v>
      </c>
      <c r="D18" s="46"/>
      <c r="E18" s="15"/>
      <c r="F18" s="43"/>
      <c r="G18" s="46"/>
      <c r="H18" s="15"/>
      <c r="I18" s="15"/>
      <c r="J18" s="15"/>
      <c r="K18" s="15"/>
      <c r="L18" s="61" t="s">
        <v>258</v>
      </c>
      <c r="M18" s="251" t="s">
        <v>524</v>
      </c>
      <c r="N18" s="75"/>
      <c r="Q18" s="251"/>
      <c r="R18" s="252"/>
      <c r="S18" s="260"/>
      <c r="T18" s="251"/>
    </row>
    <row r="19" spans="1:20" x14ac:dyDescent="0.25">
      <c r="A19" s="13" t="s">
        <v>93</v>
      </c>
      <c r="B19" s="240">
        <v>200</v>
      </c>
      <c r="C19" s="45">
        <v>5749</v>
      </c>
      <c r="D19" s="46"/>
      <c r="E19" s="15"/>
      <c r="F19" s="43"/>
      <c r="G19" s="46"/>
      <c r="H19" s="15"/>
      <c r="I19" s="15"/>
      <c r="J19" s="15"/>
      <c r="K19" s="15"/>
      <c r="L19" s="61" t="s">
        <v>258</v>
      </c>
      <c r="M19" s="251" t="s">
        <v>524</v>
      </c>
      <c r="N19" s="75"/>
      <c r="Q19" s="251"/>
      <c r="R19" s="252"/>
      <c r="S19" s="260"/>
      <c r="T19" s="251"/>
    </row>
    <row r="20" spans="1:20" x14ac:dyDescent="0.25">
      <c r="A20" s="13" t="s">
        <v>184</v>
      </c>
      <c r="B20" s="240">
        <v>1907.7</v>
      </c>
      <c r="C20" s="45">
        <v>4559</v>
      </c>
      <c r="D20" s="46"/>
      <c r="E20" s="15"/>
      <c r="F20" s="15"/>
      <c r="G20" s="15"/>
      <c r="H20" s="15"/>
      <c r="I20" s="15"/>
      <c r="J20" s="15"/>
      <c r="K20" s="15"/>
      <c r="L20" s="61" t="s">
        <v>258</v>
      </c>
      <c r="M20" s="251" t="s">
        <v>524</v>
      </c>
      <c r="N20" s="75"/>
      <c r="Q20" s="251"/>
      <c r="R20" s="252"/>
      <c r="S20" s="260"/>
      <c r="T20" s="251"/>
    </row>
    <row r="21" spans="1:20" x14ac:dyDescent="0.25">
      <c r="A21" s="13" t="s">
        <v>418</v>
      </c>
      <c r="B21" s="242">
        <v>248.45</v>
      </c>
      <c r="C21" s="45">
        <v>5065</v>
      </c>
      <c r="D21" s="46"/>
      <c r="E21" s="15"/>
      <c r="F21" s="15"/>
      <c r="G21" s="15"/>
      <c r="H21" s="15"/>
      <c r="I21" s="15"/>
      <c r="J21" s="15"/>
      <c r="K21" s="15"/>
      <c r="L21" s="61" t="s">
        <v>258</v>
      </c>
      <c r="M21" s="250" t="s">
        <v>524</v>
      </c>
      <c r="N21" s="75"/>
      <c r="Q21" s="251"/>
      <c r="R21" s="252"/>
      <c r="S21" s="260"/>
      <c r="T21" s="251"/>
    </row>
    <row r="22" spans="1:20" x14ac:dyDescent="0.25">
      <c r="A22" s="13" t="s">
        <v>76</v>
      </c>
      <c r="B22" s="240">
        <v>18.440000000000001</v>
      </c>
      <c r="C22" s="45">
        <v>5398</v>
      </c>
      <c r="D22" s="46"/>
      <c r="E22" s="18"/>
      <c r="F22" s="18"/>
      <c r="G22" s="18"/>
      <c r="H22" s="18"/>
      <c r="I22" s="18"/>
      <c r="J22" s="18"/>
      <c r="K22" s="18"/>
      <c r="L22" s="61" t="s">
        <v>258</v>
      </c>
      <c r="M22" s="251" t="s">
        <v>524</v>
      </c>
      <c r="N22" s="75"/>
      <c r="Q22" s="251"/>
      <c r="R22" s="252"/>
      <c r="S22" s="260"/>
      <c r="T22" s="251"/>
    </row>
    <row r="23" spans="1:20" x14ac:dyDescent="0.25">
      <c r="A23" s="13" t="s">
        <v>134</v>
      </c>
      <c r="B23" s="240">
        <v>150</v>
      </c>
      <c r="C23" s="45">
        <v>5529</v>
      </c>
      <c r="D23" s="46"/>
      <c r="E23" s="15"/>
      <c r="F23" s="15"/>
      <c r="G23" s="15"/>
      <c r="H23" s="15"/>
      <c r="I23" s="15"/>
      <c r="J23" s="15"/>
      <c r="K23" s="15"/>
      <c r="L23" s="61" t="s">
        <v>258</v>
      </c>
      <c r="M23" s="251" t="s">
        <v>524</v>
      </c>
      <c r="N23" s="75"/>
      <c r="Q23" s="251"/>
      <c r="R23" s="252"/>
      <c r="S23" s="260"/>
      <c r="T23" s="251"/>
    </row>
    <row r="24" spans="1:20" x14ac:dyDescent="0.25">
      <c r="A24" s="13" t="s">
        <v>68</v>
      </c>
      <c r="B24" s="240">
        <v>109.93</v>
      </c>
      <c r="C24" s="45">
        <v>4835</v>
      </c>
      <c r="D24" s="46"/>
      <c r="E24" s="15"/>
      <c r="F24" s="15"/>
      <c r="G24" s="15"/>
      <c r="H24" s="15"/>
      <c r="I24" s="15"/>
      <c r="J24" s="15"/>
      <c r="K24" s="15"/>
      <c r="L24" s="61" t="s">
        <v>258</v>
      </c>
      <c r="M24" s="251" t="s">
        <v>524</v>
      </c>
      <c r="N24" s="75"/>
      <c r="Q24" s="251"/>
      <c r="R24" s="252"/>
      <c r="S24" s="260"/>
      <c r="T24" s="251"/>
    </row>
    <row r="25" spans="1:20" x14ac:dyDescent="0.25">
      <c r="A25" s="13" t="s">
        <v>154</v>
      </c>
      <c r="B25" s="240">
        <v>10</v>
      </c>
      <c r="C25" s="45">
        <v>5069</v>
      </c>
      <c r="D25" s="46"/>
      <c r="E25" s="15"/>
      <c r="F25" s="15"/>
      <c r="G25" s="15"/>
      <c r="H25" s="15"/>
      <c r="I25" s="15"/>
      <c r="J25" s="15"/>
      <c r="K25" s="15"/>
      <c r="L25" s="61" t="s">
        <v>258</v>
      </c>
      <c r="M25" s="251" t="s">
        <v>524</v>
      </c>
      <c r="N25" s="75"/>
      <c r="Q25" s="251"/>
      <c r="R25" s="252"/>
      <c r="S25" s="260"/>
      <c r="T25" s="251"/>
    </row>
    <row r="26" spans="1:20" x14ac:dyDescent="0.25">
      <c r="A26" s="10" t="s">
        <v>45</v>
      </c>
      <c r="B26" s="240">
        <v>134</v>
      </c>
      <c r="C26" s="45">
        <v>4743</v>
      </c>
      <c r="E26" s="46"/>
      <c r="F26" s="15"/>
      <c r="G26" s="15"/>
      <c r="H26" s="15"/>
      <c r="I26" s="15"/>
      <c r="J26" s="15"/>
      <c r="K26" s="15"/>
      <c r="L26" s="64" t="s">
        <v>258</v>
      </c>
      <c r="M26" s="251" t="s">
        <v>524</v>
      </c>
      <c r="N26" s="75"/>
      <c r="Q26" s="251"/>
      <c r="R26" s="252"/>
      <c r="S26" s="260"/>
      <c r="T26" s="251"/>
    </row>
    <row r="27" spans="1:20" x14ac:dyDescent="0.25">
      <c r="A27" s="10" t="s">
        <v>203</v>
      </c>
      <c r="B27" s="240">
        <v>800</v>
      </c>
      <c r="C27" s="45">
        <v>4867</v>
      </c>
      <c r="D27" s="46"/>
      <c r="E27" s="15"/>
      <c r="F27" s="15"/>
      <c r="G27" s="15"/>
      <c r="H27" s="15"/>
      <c r="I27" s="15"/>
      <c r="J27" s="15"/>
      <c r="K27" s="15"/>
      <c r="L27" s="61" t="s">
        <v>258</v>
      </c>
      <c r="M27" s="251" t="s">
        <v>524</v>
      </c>
      <c r="N27" s="75"/>
      <c r="Q27" s="251"/>
      <c r="R27" s="252"/>
      <c r="S27" s="260"/>
      <c r="T27" s="251"/>
    </row>
    <row r="28" spans="1:20" x14ac:dyDescent="0.25">
      <c r="A28" s="54" t="s">
        <v>6</v>
      </c>
      <c r="B28" s="240">
        <v>1000</v>
      </c>
      <c r="C28" s="45">
        <v>4470</v>
      </c>
      <c r="D28" s="46"/>
      <c r="E28" s="15"/>
      <c r="F28" s="15"/>
      <c r="G28" s="15"/>
      <c r="H28" s="15"/>
      <c r="I28" s="15"/>
      <c r="J28" s="15"/>
      <c r="K28" s="15"/>
      <c r="L28" s="61" t="s">
        <v>258</v>
      </c>
      <c r="M28" s="251" t="s">
        <v>524</v>
      </c>
      <c r="N28" s="75"/>
      <c r="Q28" s="251"/>
      <c r="R28" s="252"/>
      <c r="S28" s="260"/>
      <c r="T28" s="251"/>
    </row>
    <row r="29" spans="1:20" x14ac:dyDescent="0.25">
      <c r="A29" s="13" t="s">
        <v>16</v>
      </c>
      <c r="B29" s="240">
        <v>2240</v>
      </c>
      <c r="C29" s="45">
        <v>5392</v>
      </c>
      <c r="D29" s="46"/>
      <c r="E29" s="15"/>
      <c r="F29" s="15"/>
      <c r="G29" s="15"/>
      <c r="H29" s="15"/>
      <c r="I29" s="15"/>
      <c r="J29" s="15"/>
      <c r="K29" s="15"/>
      <c r="L29" s="61" t="s">
        <v>258</v>
      </c>
      <c r="M29" s="250" t="s">
        <v>525</v>
      </c>
      <c r="N29" s="75"/>
      <c r="Q29" s="251"/>
      <c r="R29" s="252"/>
      <c r="S29" s="260"/>
      <c r="T29" s="251"/>
    </row>
    <row r="30" spans="1:20" x14ac:dyDescent="0.25">
      <c r="A30" s="13" t="s">
        <v>177</v>
      </c>
      <c r="B30" s="240">
        <f>18907.63+19000</f>
        <v>37907.630000000005</v>
      </c>
      <c r="C30" s="45">
        <v>9193</v>
      </c>
      <c r="D30" s="45">
        <v>4584</v>
      </c>
      <c r="E30" s="43"/>
      <c r="F30" s="46"/>
      <c r="G30" s="15"/>
      <c r="H30" s="15"/>
      <c r="I30" s="15"/>
      <c r="J30" s="15"/>
      <c r="K30" s="15"/>
      <c r="L30" s="64" t="s">
        <v>513</v>
      </c>
      <c r="M30" s="54" t="s">
        <v>533</v>
      </c>
      <c r="N30" s="75"/>
      <c r="Q30" s="251"/>
      <c r="R30" s="252"/>
      <c r="S30" s="260"/>
      <c r="T30" s="251"/>
    </row>
    <row r="31" spans="1:20" x14ac:dyDescent="0.25">
      <c r="A31" s="13" t="s">
        <v>69</v>
      </c>
      <c r="B31" s="240">
        <v>74</v>
      </c>
      <c r="C31" s="45">
        <v>5551</v>
      </c>
      <c r="D31" s="46"/>
      <c r="E31" s="43"/>
      <c r="F31" s="47"/>
      <c r="G31" s="15"/>
      <c r="H31" s="15"/>
      <c r="I31" s="15"/>
      <c r="J31" s="15"/>
      <c r="K31" s="15"/>
      <c r="L31" s="61" t="s">
        <v>258</v>
      </c>
      <c r="M31" s="251" t="s">
        <v>528</v>
      </c>
      <c r="N31" s="75"/>
      <c r="Q31" s="251"/>
      <c r="R31" s="252"/>
      <c r="S31" s="260"/>
      <c r="T31" s="251"/>
    </row>
    <row r="32" spans="1:20" x14ac:dyDescent="0.25">
      <c r="A32" s="13" t="s">
        <v>75</v>
      </c>
      <c r="B32" s="240">
        <v>2894.85</v>
      </c>
      <c r="C32" s="45">
        <v>6958</v>
      </c>
      <c r="D32" s="45">
        <v>4844</v>
      </c>
      <c r="E32" s="43"/>
      <c r="F32" s="46"/>
      <c r="G32" s="15"/>
      <c r="H32" s="15"/>
      <c r="I32" s="15"/>
      <c r="J32" s="15"/>
      <c r="K32" s="15"/>
      <c r="L32" s="64" t="s">
        <v>513</v>
      </c>
      <c r="M32" s="54" t="s">
        <v>533</v>
      </c>
      <c r="N32" s="75"/>
      <c r="Q32" s="251"/>
      <c r="R32" s="252"/>
      <c r="S32" s="260"/>
      <c r="T32" s="251"/>
    </row>
    <row r="33" spans="1:20" x14ac:dyDescent="0.25">
      <c r="A33" s="58" t="s">
        <v>333</v>
      </c>
      <c r="B33" s="239">
        <v>500</v>
      </c>
      <c r="C33" s="49">
        <v>6940</v>
      </c>
      <c r="D33" s="6"/>
      <c r="E33" s="51"/>
      <c r="F33" s="51"/>
      <c r="G33" s="52"/>
      <c r="H33" s="53"/>
      <c r="I33" s="16"/>
      <c r="J33" s="16"/>
      <c r="K33" s="16"/>
      <c r="L33" s="64" t="s">
        <v>334</v>
      </c>
      <c r="M33" s="250" t="s">
        <v>524</v>
      </c>
      <c r="N33" s="75"/>
      <c r="Q33" s="251"/>
      <c r="R33" s="252"/>
      <c r="S33" s="260"/>
      <c r="T33" s="251"/>
    </row>
    <row r="34" spans="1:20" x14ac:dyDescent="0.25">
      <c r="A34" s="13" t="s">
        <v>17</v>
      </c>
      <c r="B34" s="240">
        <v>2970</v>
      </c>
      <c r="C34" s="45">
        <v>5351</v>
      </c>
      <c r="D34" s="43"/>
      <c r="E34" s="46"/>
      <c r="F34" s="47"/>
      <c r="G34" s="15"/>
      <c r="H34" s="15"/>
      <c r="I34" s="15"/>
      <c r="J34" s="15"/>
      <c r="K34" s="15"/>
      <c r="L34" s="61" t="s">
        <v>258</v>
      </c>
      <c r="M34" s="250" t="s">
        <v>525</v>
      </c>
      <c r="N34" s="79" t="s">
        <v>523</v>
      </c>
      <c r="Q34" s="251"/>
      <c r="R34" s="252"/>
      <c r="S34" s="260"/>
      <c r="T34" s="251"/>
    </row>
    <row r="35" spans="1:20" x14ac:dyDescent="0.25">
      <c r="A35" s="48" t="s">
        <v>123</v>
      </c>
      <c r="B35" s="259" t="s">
        <v>539</v>
      </c>
      <c r="C35" s="45">
        <v>4732</v>
      </c>
      <c r="D35" s="43"/>
      <c r="E35" s="46"/>
      <c r="F35" s="47"/>
      <c r="G35" s="15"/>
      <c r="H35" s="15"/>
      <c r="I35" s="15"/>
      <c r="J35" s="15"/>
      <c r="K35" s="15"/>
      <c r="L35" s="61" t="s">
        <v>258</v>
      </c>
      <c r="M35" s="250" t="s">
        <v>524</v>
      </c>
      <c r="N35" s="79"/>
      <c r="Q35" s="251"/>
      <c r="R35" s="252"/>
      <c r="S35" s="260"/>
      <c r="T35" s="251"/>
    </row>
    <row r="36" spans="1:20" x14ac:dyDescent="0.25">
      <c r="A36" s="59" t="s">
        <v>74</v>
      </c>
      <c r="B36" s="243">
        <v>2</v>
      </c>
      <c r="C36" s="45">
        <v>9553</v>
      </c>
      <c r="D36" s="43"/>
      <c r="E36" s="43"/>
      <c r="F36" s="43"/>
      <c r="G36" s="43"/>
      <c r="H36" s="43"/>
      <c r="I36" s="43"/>
      <c r="J36" s="43"/>
      <c r="K36" s="43"/>
      <c r="L36" s="62" t="s">
        <v>259</v>
      </c>
      <c r="M36" s="250" t="s">
        <v>524</v>
      </c>
      <c r="N36" s="75"/>
      <c r="Q36" s="251"/>
      <c r="R36" s="252"/>
      <c r="S36" s="260"/>
      <c r="T36" s="251"/>
    </row>
    <row r="37" spans="1:20" x14ac:dyDescent="0.25">
      <c r="A37" s="13" t="s">
        <v>2</v>
      </c>
      <c r="B37" s="240">
        <f>1100+6000+5600+1000</f>
        <v>13700</v>
      </c>
      <c r="C37" s="45">
        <v>9445</v>
      </c>
      <c r="D37" s="45">
        <v>5089</v>
      </c>
      <c r="E37" s="50">
        <v>4792</v>
      </c>
      <c r="F37" s="45">
        <v>4763</v>
      </c>
      <c r="G37" s="43"/>
      <c r="H37" s="15"/>
      <c r="I37" s="15"/>
      <c r="J37" s="15"/>
      <c r="K37" s="15"/>
      <c r="L37" s="223" t="s">
        <v>335</v>
      </c>
      <c r="M37" s="250" t="s">
        <v>536</v>
      </c>
      <c r="N37" s="75"/>
      <c r="Q37" s="251"/>
      <c r="R37" s="252"/>
      <c r="S37" s="260"/>
      <c r="T37" s="251"/>
    </row>
    <row r="38" spans="1:20" x14ac:dyDescent="0.25">
      <c r="A38" s="153" t="s">
        <v>113</v>
      </c>
      <c r="B38" s="240">
        <v>50</v>
      </c>
      <c r="C38" s="101">
        <v>5517</v>
      </c>
      <c r="D38" s="45"/>
      <c r="E38" s="50"/>
      <c r="F38" s="45"/>
      <c r="G38" s="43"/>
      <c r="H38" s="15"/>
      <c r="I38" s="15"/>
      <c r="J38" s="15"/>
      <c r="K38" s="15"/>
      <c r="L38" s="62" t="s">
        <v>258</v>
      </c>
      <c r="M38" s="250" t="s">
        <v>524</v>
      </c>
      <c r="N38" s="79" t="s">
        <v>523</v>
      </c>
      <c r="Q38" s="251"/>
      <c r="R38" s="252"/>
      <c r="S38" s="260"/>
      <c r="T38" s="251"/>
    </row>
    <row r="39" spans="1:20" x14ac:dyDescent="0.25">
      <c r="A39" s="13" t="s">
        <v>194</v>
      </c>
      <c r="B39" s="240">
        <f>9400+4667.72</f>
        <v>14067.720000000001</v>
      </c>
      <c r="C39" s="49">
        <v>9389</v>
      </c>
      <c r="D39" s="49">
        <v>4562</v>
      </c>
      <c r="E39" s="6"/>
      <c r="F39" s="51"/>
      <c r="G39" s="16"/>
      <c r="H39" s="15"/>
      <c r="I39" s="15"/>
      <c r="J39" s="15"/>
      <c r="K39" s="15"/>
      <c r="L39" s="61" t="s">
        <v>514</v>
      </c>
      <c r="M39" s="54" t="s">
        <v>533</v>
      </c>
      <c r="N39" s="75"/>
      <c r="Q39" s="251"/>
      <c r="R39" s="252"/>
      <c r="S39" s="266"/>
      <c r="T39" s="165"/>
    </row>
    <row r="40" spans="1:20" x14ac:dyDescent="0.25">
      <c r="A40" s="9" t="s">
        <v>7</v>
      </c>
      <c r="B40" s="244">
        <v>1310</v>
      </c>
      <c r="C40" s="45">
        <v>9158</v>
      </c>
      <c r="D40" s="43"/>
      <c r="E40" s="43"/>
      <c r="F40" s="43"/>
      <c r="G40" s="15"/>
      <c r="H40" s="15"/>
      <c r="I40" s="15"/>
      <c r="J40" s="15"/>
      <c r="K40" s="15"/>
      <c r="L40" s="62" t="s">
        <v>258</v>
      </c>
      <c r="M40" s="250" t="s">
        <v>524</v>
      </c>
      <c r="N40" s="75"/>
      <c r="Q40" s="251"/>
      <c r="R40" s="252"/>
      <c r="S40" s="260"/>
      <c r="T40" s="251"/>
    </row>
    <row r="41" spans="1:20" x14ac:dyDescent="0.25">
      <c r="A41" s="13" t="s">
        <v>32</v>
      </c>
      <c r="B41" s="240">
        <f>29768.33+(5000-1954.02)</f>
        <v>32814.310000000005</v>
      </c>
      <c r="C41" s="49">
        <v>6992</v>
      </c>
      <c r="D41" s="49">
        <v>5159</v>
      </c>
      <c r="E41" s="6"/>
      <c r="F41" s="55"/>
      <c r="G41" s="16"/>
      <c r="H41" s="16"/>
      <c r="I41" s="15"/>
      <c r="J41" s="15"/>
      <c r="K41" s="15"/>
      <c r="L41" s="61" t="s">
        <v>513</v>
      </c>
      <c r="M41" s="54" t="s">
        <v>533</v>
      </c>
      <c r="N41" s="75"/>
      <c r="Q41" s="251"/>
      <c r="R41" s="252"/>
      <c r="S41" s="263"/>
      <c r="T41" s="251"/>
    </row>
    <row r="42" spans="1:20" x14ac:dyDescent="0.25">
      <c r="A42" s="13" t="s">
        <v>101</v>
      </c>
      <c r="B42" s="240">
        <v>25.5</v>
      </c>
      <c r="C42" s="49">
        <v>5552</v>
      </c>
      <c r="D42" s="55"/>
      <c r="E42" s="6"/>
      <c r="F42" s="51"/>
      <c r="G42" s="16"/>
      <c r="H42" s="16"/>
      <c r="I42" s="16"/>
      <c r="J42" s="16"/>
      <c r="K42" s="16"/>
      <c r="L42" s="61" t="s">
        <v>258</v>
      </c>
      <c r="M42" s="251" t="s">
        <v>524</v>
      </c>
      <c r="N42" s="34"/>
      <c r="Q42" s="251"/>
      <c r="R42" s="252"/>
      <c r="S42" s="260"/>
      <c r="T42" s="251"/>
    </row>
    <row r="43" spans="1:20" x14ac:dyDescent="0.25">
      <c r="A43" s="9" t="s">
        <v>162</v>
      </c>
      <c r="B43" s="244">
        <v>200</v>
      </c>
      <c r="C43" s="45">
        <v>9231</v>
      </c>
      <c r="D43" s="43"/>
      <c r="E43" s="43"/>
      <c r="F43" s="43"/>
      <c r="G43" s="43"/>
      <c r="H43" s="43"/>
      <c r="I43" s="43"/>
      <c r="J43" s="43"/>
      <c r="K43" s="43"/>
      <c r="L43" s="61" t="s">
        <v>258</v>
      </c>
      <c r="M43" s="250" t="s">
        <v>524</v>
      </c>
      <c r="N43" s="75"/>
      <c r="Q43" s="251"/>
      <c r="R43" s="252"/>
      <c r="S43" s="260"/>
      <c r="T43" s="251"/>
    </row>
    <row r="44" spans="1:20" x14ac:dyDescent="0.25">
      <c r="A44" s="13" t="s">
        <v>58</v>
      </c>
      <c r="B44" s="240">
        <f>11-8.7</f>
        <v>2.3000000000000007</v>
      </c>
      <c r="C44" s="45">
        <v>5208</v>
      </c>
      <c r="D44" s="46"/>
      <c r="E44" s="43"/>
      <c r="F44" s="46"/>
      <c r="G44" s="15"/>
      <c r="H44" s="15"/>
      <c r="I44" s="15"/>
      <c r="J44" s="15"/>
      <c r="K44" s="15"/>
      <c r="L44" s="61" t="s">
        <v>258</v>
      </c>
      <c r="M44" s="251" t="s">
        <v>525</v>
      </c>
      <c r="N44" s="77" t="s">
        <v>466</v>
      </c>
      <c r="Q44" s="251"/>
      <c r="R44" s="252"/>
      <c r="S44" s="260"/>
      <c r="T44" s="251"/>
    </row>
    <row r="45" spans="1:20" x14ac:dyDescent="0.25">
      <c r="A45" s="10" t="s">
        <v>193</v>
      </c>
      <c r="B45" s="240">
        <v>2550</v>
      </c>
      <c r="C45" s="50">
        <v>5510</v>
      </c>
      <c r="D45" s="15"/>
      <c r="E45" s="15"/>
      <c r="F45" s="15"/>
      <c r="G45" s="15"/>
      <c r="H45" s="15"/>
      <c r="I45" s="15"/>
      <c r="J45" s="15"/>
      <c r="K45" s="15"/>
      <c r="L45" s="61" t="s">
        <v>258</v>
      </c>
      <c r="M45" s="250" t="s">
        <v>524</v>
      </c>
      <c r="N45" s="75"/>
      <c r="Q45" s="251"/>
      <c r="R45" s="252"/>
      <c r="S45" s="260"/>
      <c r="T45" s="251"/>
    </row>
    <row r="46" spans="1:20" x14ac:dyDescent="0.25">
      <c r="A46" s="13" t="s">
        <v>242</v>
      </c>
      <c r="B46" s="240">
        <v>1210</v>
      </c>
      <c r="C46" s="45">
        <v>5458</v>
      </c>
      <c r="D46" s="45">
        <v>5080</v>
      </c>
      <c r="E46" s="43"/>
      <c r="F46" s="46"/>
      <c r="G46" s="15"/>
      <c r="H46" s="15"/>
      <c r="I46" s="15"/>
      <c r="J46" s="15"/>
      <c r="K46" s="15"/>
      <c r="L46" s="64" t="s">
        <v>513</v>
      </c>
      <c r="M46" s="54" t="s">
        <v>533</v>
      </c>
      <c r="N46" s="75"/>
      <c r="Q46" s="251"/>
      <c r="R46" s="252"/>
      <c r="S46" s="260"/>
      <c r="T46" s="251"/>
    </row>
    <row r="47" spans="1:20" x14ac:dyDescent="0.25">
      <c r="A47" s="13" t="s">
        <v>53</v>
      </c>
      <c r="B47" s="240">
        <v>1000</v>
      </c>
      <c r="C47" s="101">
        <v>5826</v>
      </c>
      <c r="D47" s="45"/>
      <c r="E47" s="43"/>
      <c r="F47" s="46"/>
      <c r="G47" s="15"/>
      <c r="H47" s="15"/>
      <c r="I47" s="15"/>
      <c r="J47" s="15"/>
      <c r="K47" s="15"/>
      <c r="L47" s="61" t="s">
        <v>258</v>
      </c>
      <c r="M47" s="250" t="s">
        <v>524</v>
      </c>
      <c r="N47" s="75"/>
      <c r="Q47" s="251"/>
      <c r="R47" s="252"/>
      <c r="S47" s="260"/>
      <c r="T47" s="251"/>
    </row>
    <row r="48" spans="1:20" x14ac:dyDescent="0.25">
      <c r="A48" s="2" t="s">
        <v>511</v>
      </c>
      <c r="B48" s="242">
        <v>763.29299999999989</v>
      </c>
      <c r="C48" s="45">
        <v>5528</v>
      </c>
      <c r="D48" s="46"/>
      <c r="E48" s="15"/>
      <c r="F48" s="15"/>
      <c r="G48" s="15"/>
      <c r="H48" s="15"/>
      <c r="I48" s="15"/>
      <c r="J48" s="15"/>
      <c r="K48" s="15"/>
      <c r="L48" s="61" t="s">
        <v>258</v>
      </c>
      <c r="M48" s="191" t="s">
        <v>525</v>
      </c>
      <c r="N48" s="75"/>
      <c r="Q48" s="251"/>
      <c r="R48" s="252"/>
      <c r="S48" s="260"/>
      <c r="T48" s="251"/>
    </row>
    <row r="49" spans="1:20" x14ac:dyDescent="0.25">
      <c r="A49" s="2" t="s">
        <v>49</v>
      </c>
      <c r="B49" s="242">
        <v>31000</v>
      </c>
      <c r="C49" s="101">
        <v>4665</v>
      </c>
      <c r="D49" s="46"/>
      <c r="E49" s="15"/>
      <c r="F49" s="15"/>
      <c r="G49" s="15"/>
      <c r="H49" s="15"/>
      <c r="I49" s="15"/>
      <c r="J49" s="15"/>
      <c r="K49" s="15"/>
      <c r="L49" s="62" t="s">
        <v>259</v>
      </c>
      <c r="M49" s="250" t="s">
        <v>525</v>
      </c>
      <c r="N49" s="75"/>
      <c r="Q49" s="251"/>
      <c r="R49" s="252"/>
      <c r="S49" s="260"/>
      <c r="T49" s="251"/>
    </row>
    <row r="50" spans="1:20" x14ac:dyDescent="0.25">
      <c r="A50" s="13" t="s">
        <v>150</v>
      </c>
      <c r="B50" s="240">
        <v>39.4</v>
      </c>
      <c r="C50" s="45">
        <v>5078</v>
      </c>
      <c r="D50" s="46"/>
      <c r="E50" s="43"/>
      <c r="F50" s="18"/>
      <c r="G50" s="18"/>
      <c r="H50" s="18"/>
      <c r="I50" s="18"/>
      <c r="J50" s="18"/>
      <c r="K50" s="18"/>
      <c r="L50" s="61" t="s">
        <v>258</v>
      </c>
      <c r="M50" s="250" t="s">
        <v>524</v>
      </c>
      <c r="N50" s="77"/>
      <c r="Q50" s="251"/>
      <c r="R50" s="252"/>
      <c r="S50" s="261"/>
      <c r="T50" s="262"/>
    </row>
    <row r="51" spans="1:20" x14ac:dyDescent="0.25">
      <c r="A51" s="9" t="s">
        <v>105</v>
      </c>
      <c r="B51" s="244">
        <v>40</v>
      </c>
      <c r="C51" s="45">
        <v>9406</v>
      </c>
      <c r="D51" s="43"/>
      <c r="E51" s="43"/>
      <c r="F51" s="43"/>
      <c r="G51" s="43"/>
      <c r="H51" s="43"/>
      <c r="I51" s="43"/>
      <c r="J51" s="43"/>
      <c r="K51" s="43"/>
      <c r="L51" s="62" t="s">
        <v>259</v>
      </c>
      <c r="M51" s="250" t="s">
        <v>525</v>
      </c>
      <c r="N51" s="75"/>
      <c r="Q51" s="251"/>
      <c r="R51" s="252"/>
      <c r="S51" s="261"/>
      <c r="T51" s="262"/>
    </row>
    <row r="52" spans="1:20" x14ac:dyDescent="0.25">
      <c r="A52" s="9" t="s">
        <v>337</v>
      </c>
      <c r="B52" s="244">
        <v>122</v>
      </c>
      <c r="C52" s="45">
        <v>9580</v>
      </c>
      <c r="D52" s="43"/>
      <c r="E52" s="43"/>
      <c r="F52" s="43"/>
      <c r="G52" s="43"/>
      <c r="H52" s="43"/>
      <c r="I52" s="43"/>
      <c r="J52" s="43"/>
      <c r="K52" s="43"/>
      <c r="L52" s="61" t="s">
        <v>258</v>
      </c>
      <c r="M52" s="251" t="s">
        <v>524</v>
      </c>
      <c r="N52" s="75"/>
      <c r="Q52" s="251"/>
      <c r="R52" s="252"/>
      <c r="S52" s="261"/>
      <c r="T52" s="262"/>
    </row>
    <row r="53" spans="1:20" x14ac:dyDescent="0.25">
      <c r="A53" s="13" t="s">
        <v>182</v>
      </c>
      <c r="B53" s="240">
        <f>1000+2000</f>
        <v>3000</v>
      </c>
      <c r="C53" s="101">
        <v>9846</v>
      </c>
      <c r="D53" s="45">
        <v>5122</v>
      </c>
      <c r="E53" s="15"/>
      <c r="F53" s="15"/>
      <c r="G53" s="15"/>
      <c r="H53" s="15"/>
      <c r="I53" s="15"/>
      <c r="J53" s="15"/>
      <c r="K53" s="15"/>
      <c r="L53" s="223" t="s">
        <v>522</v>
      </c>
      <c r="M53" s="254" t="s">
        <v>535</v>
      </c>
      <c r="N53" s="77"/>
      <c r="Q53" s="251"/>
      <c r="R53" s="252"/>
      <c r="S53" s="260"/>
      <c r="T53" s="251"/>
    </row>
    <row r="54" spans="1:20" x14ac:dyDescent="0.25">
      <c r="A54" s="13" t="s">
        <v>4</v>
      </c>
      <c r="B54" s="240">
        <v>1570</v>
      </c>
      <c r="C54" s="45">
        <v>4848</v>
      </c>
      <c r="D54" s="46"/>
      <c r="E54" s="15"/>
      <c r="F54" s="15"/>
      <c r="G54" s="15"/>
      <c r="H54" s="15"/>
      <c r="I54" s="15"/>
      <c r="J54" s="15"/>
      <c r="K54" s="15"/>
      <c r="L54" s="61" t="s">
        <v>258</v>
      </c>
      <c r="M54" s="250" t="s">
        <v>524</v>
      </c>
      <c r="N54" s="75"/>
      <c r="Q54" s="251"/>
      <c r="R54" s="252"/>
      <c r="S54" s="260"/>
      <c r="T54" s="251"/>
    </row>
    <row r="55" spans="1:20" s="75" customFormat="1" x14ac:dyDescent="0.25">
      <c r="A55" s="6" t="s">
        <v>85</v>
      </c>
      <c r="B55" s="244">
        <v>3150</v>
      </c>
      <c r="C55" s="49">
        <v>5337</v>
      </c>
      <c r="D55" s="6"/>
      <c r="E55" s="6"/>
      <c r="F55" s="6"/>
      <c r="G55" s="6"/>
      <c r="H55" s="6"/>
      <c r="I55" s="6"/>
      <c r="J55" s="6"/>
      <c r="K55" s="6"/>
      <c r="L55" s="223" t="s">
        <v>258</v>
      </c>
      <c r="M55" s="250" t="s">
        <v>524</v>
      </c>
      <c r="N55" s="234"/>
      <c r="Q55" s="251"/>
      <c r="R55" s="252"/>
      <c r="S55" s="260"/>
      <c r="T55" s="251"/>
    </row>
    <row r="56" spans="1:20" s="75" customFormat="1" x14ac:dyDescent="0.25">
      <c r="A56" s="6" t="s">
        <v>11</v>
      </c>
      <c r="B56" s="244">
        <v>3580</v>
      </c>
      <c r="C56" s="249">
        <v>9425</v>
      </c>
      <c r="D56" s="6"/>
      <c r="E56" s="6"/>
      <c r="F56" s="6"/>
      <c r="G56" s="6"/>
      <c r="H56" s="6"/>
      <c r="I56" s="6"/>
      <c r="J56" s="6"/>
      <c r="K56" s="6"/>
      <c r="L56" s="62" t="s">
        <v>259</v>
      </c>
      <c r="M56" s="250" t="s">
        <v>524</v>
      </c>
      <c r="N56" s="79" t="s">
        <v>523</v>
      </c>
      <c r="Q56" s="251"/>
      <c r="R56" s="252"/>
      <c r="S56" s="260"/>
      <c r="T56" s="251"/>
    </row>
    <row r="57" spans="1:20" x14ac:dyDescent="0.25">
      <c r="A57" s="9" t="s">
        <v>166</v>
      </c>
      <c r="B57" s="245">
        <v>6600</v>
      </c>
      <c r="C57" s="45">
        <v>6949</v>
      </c>
      <c r="D57" s="43"/>
      <c r="E57" s="43"/>
      <c r="F57" s="43"/>
      <c r="G57" s="43"/>
      <c r="H57" s="43"/>
      <c r="L57" s="61" t="s">
        <v>258</v>
      </c>
      <c r="M57" s="250" t="s">
        <v>524</v>
      </c>
      <c r="N57" s="75"/>
      <c r="Q57" s="251"/>
      <c r="R57" s="252"/>
      <c r="S57" s="260"/>
      <c r="T57" s="251"/>
    </row>
    <row r="58" spans="1:20" x14ac:dyDescent="0.25">
      <c r="A58" s="43" t="s">
        <v>60</v>
      </c>
      <c r="B58" s="245">
        <v>130</v>
      </c>
      <c r="C58" s="45">
        <v>5330</v>
      </c>
      <c r="D58" s="43"/>
      <c r="E58" s="43"/>
      <c r="F58" s="43"/>
      <c r="G58" s="43"/>
      <c r="H58" s="43"/>
      <c r="L58" s="61" t="s">
        <v>258</v>
      </c>
      <c r="M58" s="250" t="s">
        <v>524</v>
      </c>
      <c r="N58" s="75"/>
      <c r="Q58" s="251"/>
      <c r="R58" s="252"/>
      <c r="S58" s="260"/>
      <c r="T58" s="251"/>
    </row>
    <row r="59" spans="1:20" x14ac:dyDescent="0.25">
      <c r="A59" s="13" t="s">
        <v>25</v>
      </c>
      <c r="B59" s="240">
        <v>592.10500000000002</v>
      </c>
      <c r="C59" s="45">
        <v>9434</v>
      </c>
      <c r="D59" s="47"/>
      <c r="E59" s="18"/>
      <c r="F59" s="18"/>
      <c r="G59" s="18"/>
      <c r="H59" s="18"/>
      <c r="I59" s="18"/>
      <c r="J59" s="18"/>
      <c r="K59" s="18"/>
      <c r="L59" s="61" t="s">
        <v>258</v>
      </c>
      <c r="M59" s="251" t="s">
        <v>529</v>
      </c>
      <c r="N59" s="75"/>
      <c r="Q59" s="251"/>
      <c r="R59" s="252"/>
      <c r="S59" s="260"/>
      <c r="T59" s="251"/>
    </row>
    <row r="60" spans="1:20" x14ac:dyDescent="0.25">
      <c r="A60" s="13" t="s">
        <v>132</v>
      </c>
      <c r="B60" s="242">
        <v>350</v>
      </c>
      <c r="C60" s="45">
        <v>4769</v>
      </c>
      <c r="D60" s="46"/>
      <c r="E60" s="18"/>
      <c r="F60" s="18"/>
      <c r="G60" s="18"/>
      <c r="H60" s="18"/>
      <c r="I60" s="18"/>
      <c r="J60" s="18"/>
      <c r="K60" s="18"/>
      <c r="L60" s="61" t="s">
        <v>258</v>
      </c>
      <c r="M60" s="251" t="s">
        <v>528</v>
      </c>
      <c r="N60" s="75" t="s">
        <v>521</v>
      </c>
      <c r="Q60" s="251"/>
      <c r="R60" s="252"/>
      <c r="S60" s="260"/>
      <c r="T60" s="251"/>
    </row>
    <row r="61" spans="1:20" x14ac:dyDescent="0.25">
      <c r="A61" s="13" t="s">
        <v>165</v>
      </c>
      <c r="B61" s="242">
        <v>899.6</v>
      </c>
      <c r="C61" s="45">
        <v>5657</v>
      </c>
      <c r="D61" s="45">
        <v>4469</v>
      </c>
      <c r="E61" s="15"/>
      <c r="F61" s="43"/>
      <c r="G61" s="46"/>
      <c r="H61" s="15"/>
      <c r="I61" s="15"/>
      <c r="J61" s="15"/>
      <c r="K61" s="15"/>
      <c r="L61" s="64" t="s">
        <v>513</v>
      </c>
      <c r="M61" s="54" t="s">
        <v>534</v>
      </c>
      <c r="N61" s="75"/>
      <c r="Q61" s="251"/>
      <c r="R61" s="252"/>
      <c r="S61" s="260"/>
      <c r="T61" s="251"/>
    </row>
    <row r="62" spans="1:20" x14ac:dyDescent="0.25">
      <c r="A62" s="13" t="s">
        <v>106</v>
      </c>
      <c r="B62" s="242">
        <v>956</v>
      </c>
      <c r="C62" s="45">
        <v>4456</v>
      </c>
      <c r="D62" s="46"/>
      <c r="E62" s="15"/>
      <c r="F62" s="43"/>
      <c r="G62" s="46"/>
      <c r="H62" s="15"/>
      <c r="I62" s="15"/>
      <c r="J62" s="15"/>
      <c r="K62" s="15"/>
      <c r="L62" s="61" t="s">
        <v>258</v>
      </c>
      <c r="M62" s="250" t="s">
        <v>524</v>
      </c>
      <c r="N62" s="75"/>
      <c r="Q62" s="251"/>
      <c r="R62" s="252"/>
      <c r="S62" s="260"/>
      <c r="T62" s="251"/>
    </row>
    <row r="63" spans="1:20" x14ac:dyDescent="0.25">
      <c r="A63" s="13" t="s">
        <v>1</v>
      </c>
      <c r="B63" s="240">
        <v>1183.69</v>
      </c>
      <c r="C63" s="45">
        <v>5034</v>
      </c>
      <c r="D63" s="46"/>
      <c r="E63" s="18"/>
      <c r="F63" s="18"/>
      <c r="G63" s="18"/>
      <c r="H63" s="18"/>
      <c r="I63" s="18"/>
      <c r="J63" s="18"/>
      <c r="K63" s="18"/>
      <c r="L63" s="61" t="s">
        <v>258</v>
      </c>
      <c r="M63" s="250" t="s">
        <v>524</v>
      </c>
      <c r="N63" s="75"/>
      <c r="Q63" s="251"/>
      <c r="R63" s="252"/>
      <c r="S63" s="260"/>
      <c r="T63" s="251"/>
    </row>
    <row r="64" spans="1:20" x14ac:dyDescent="0.25">
      <c r="A64" s="10" t="s">
        <v>21</v>
      </c>
      <c r="B64" s="242">
        <v>856.98</v>
      </c>
      <c r="C64" s="50">
        <v>4841</v>
      </c>
      <c r="D64" s="15"/>
      <c r="E64" s="15"/>
      <c r="F64" s="15"/>
      <c r="G64" s="15"/>
      <c r="H64" s="15"/>
      <c r="I64" s="15"/>
      <c r="J64" s="15"/>
      <c r="K64" s="15"/>
      <c r="L64" s="61" t="s">
        <v>258</v>
      </c>
      <c r="M64" s="250" t="s">
        <v>524</v>
      </c>
      <c r="N64" s="35" t="s">
        <v>339</v>
      </c>
      <c r="Q64" s="251"/>
      <c r="R64" s="252"/>
      <c r="S64" s="260"/>
      <c r="T64" s="251"/>
    </row>
    <row r="65" spans="1:20" x14ac:dyDescent="0.25">
      <c r="A65" s="13" t="s">
        <v>121</v>
      </c>
      <c r="B65" s="242">
        <v>2250</v>
      </c>
      <c r="C65" s="45">
        <v>8031</v>
      </c>
      <c r="D65" s="47"/>
      <c r="E65" s="15"/>
      <c r="F65" s="15"/>
      <c r="G65" s="15"/>
      <c r="H65" s="15"/>
      <c r="I65" s="15"/>
      <c r="J65" s="15"/>
      <c r="K65" s="15"/>
      <c r="L65" s="61" t="s">
        <v>258</v>
      </c>
      <c r="M65" s="250" t="s">
        <v>524</v>
      </c>
      <c r="N65" s="34"/>
      <c r="Q65" s="251"/>
      <c r="R65" s="252"/>
      <c r="S65" s="260"/>
      <c r="T65" s="251"/>
    </row>
    <row r="66" spans="1:20" x14ac:dyDescent="0.25">
      <c r="A66" s="43" t="s">
        <v>183</v>
      </c>
      <c r="B66" s="245">
        <v>150</v>
      </c>
      <c r="C66" s="45">
        <v>5397</v>
      </c>
      <c r="D66" s="43"/>
      <c r="E66" s="43"/>
      <c r="F66" s="43"/>
      <c r="G66" s="43"/>
      <c r="H66" s="43"/>
      <c r="I66" s="43"/>
      <c r="J66" s="43"/>
      <c r="K66" s="43"/>
      <c r="L66" s="61" t="s">
        <v>258</v>
      </c>
      <c r="M66" s="250" t="s">
        <v>528</v>
      </c>
      <c r="N66" s="34"/>
      <c r="Q66" s="251"/>
      <c r="R66" s="252"/>
      <c r="S66" s="260"/>
      <c r="T66" s="251"/>
    </row>
    <row r="67" spans="1:20" x14ac:dyDescent="0.25">
      <c r="A67" s="13" t="s">
        <v>48</v>
      </c>
      <c r="B67" s="242">
        <f>310+721.46</f>
        <v>1031.46</v>
      </c>
      <c r="C67" s="45">
        <v>9361</v>
      </c>
      <c r="D67" s="45">
        <v>4760</v>
      </c>
      <c r="E67" s="15"/>
      <c r="F67" s="43"/>
      <c r="G67" s="47"/>
      <c r="H67" s="15"/>
      <c r="I67" s="15"/>
      <c r="J67" s="15"/>
      <c r="K67" s="15"/>
      <c r="L67" s="64" t="s">
        <v>513</v>
      </c>
      <c r="M67" s="54" t="s">
        <v>533</v>
      </c>
      <c r="N67" s="79" t="s">
        <v>338</v>
      </c>
      <c r="Q67" s="251"/>
      <c r="R67" s="252"/>
      <c r="S67" s="260"/>
      <c r="T67" s="251"/>
    </row>
    <row r="68" spans="1:20" x14ac:dyDescent="0.25">
      <c r="A68" s="225" t="s">
        <v>176</v>
      </c>
      <c r="B68" s="246">
        <v>5579</v>
      </c>
      <c r="C68" s="226">
        <v>4639</v>
      </c>
      <c r="D68" s="227"/>
      <c r="E68" s="228"/>
      <c r="F68" s="229"/>
      <c r="G68" s="227"/>
      <c r="H68" s="228"/>
      <c r="I68" s="228"/>
      <c r="J68" s="228"/>
      <c r="K68" s="228"/>
      <c r="L68" s="224" t="s">
        <v>258</v>
      </c>
      <c r="M68" s="257" t="s">
        <v>524</v>
      </c>
      <c r="N68" s="258"/>
    </row>
    <row r="69" spans="1:20" ht="15.75" thickBot="1" x14ac:dyDescent="0.3">
      <c r="C69" s="56"/>
      <c r="D69" s="43"/>
      <c r="E69" s="43"/>
      <c r="F69" s="43"/>
      <c r="G69" s="43"/>
      <c r="H69" s="43"/>
      <c r="I69" s="43"/>
      <c r="J69" s="43"/>
      <c r="K69" s="43"/>
      <c r="L69" s="65"/>
      <c r="M69" s="9"/>
    </row>
    <row r="70" spans="1:20" ht="15.75" thickBot="1" x14ac:dyDescent="0.3">
      <c r="A70" s="69" t="s">
        <v>251</v>
      </c>
      <c r="B70" s="124">
        <f>SUM(B2:B68)</f>
        <v>330545.408</v>
      </c>
      <c r="C70" s="56"/>
      <c r="D70" s="43"/>
      <c r="E70" s="43"/>
      <c r="F70" s="43"/>
      <c r="G70" s="43"/>
      <c r="H70" s="43"/>
      <c r="I70" s="43"/>
      <c r="J70" s="43"/>
      <c r="K70" s="43"/>
      <c r="L70" s="65"/>
      <c r="M70" s="9"/>
    </row>
    <row r="71" spans="1:20" x14ac:dyDescent="0.25">
      <c r="C71" s="56"/>
      <c r="D71" s="57"/>
      <c r="E71" s="43"/>
      <c r="F71" s="43"/>
      <c r="G71" s="43"/>
      <c r="H71" s="43"/>
      <c r="I71" s="43"/>
      <c r="J71" s="43"/>
      <c r="K71" s="43"/>
      <c r="L71" s="65"/>
      <c r="M71" s="9"/>
    </row>
    <row r="72" spans="1:20" x14ac:dyDescent="0.25">
      <c r="A72" s="2"/>
    </row>
  </sheetData>
  <hyperlinks>
    <hyperlink ref="C2" r:id="rId1" display="https://www.thegef.org/project/establishing-integrated-models-protected-areas-and-their-co-management"/>
    <hyperlink ref="C3" r:id="rId2" display="https://www.thegef.org/project/expansion-and-strengthening-angola%E2%80%99s-protected-area-system"/>
    <hyperlink ref="C4" r:id="rId3" display="https://www.thegef.org/project/path-2020-antigua-and-barbuda"/>
    <hyperlink ref="C5" r:id="rId4" display="https://www.thegef.org/project/expanding-pa-system-incorporate-important-aquatic-ecosystems"/>
    <hyperlink ref="C7" r:id="rId5" display="https://www.thegef.org/project/sustainable-forest-management-and-conservation-project-central-and-south-benin"/>
    <hyperlink ref="C8" r:id="rId6" display="https://www.thegef.org/project/achieving-biodiversity-conservation-through-creation-effective-management-and-spatial"/>
    <hyperlink ref="D9" r:id="rId7" display="https://www.thegef.org/project/recovery-and-protection-climate-and-biodiversity-services-southeast-atlantic-forest-corridor"/>
    <hyperlink ref="E9" r:id="rId8" display="https://www.thegef.org/project/conservation-restoration-and-sustainable-management-strategies-enhance-caatinga-pampa-and"/>
    <hyperlink ref="C10" r:id="rId9" display="https://www.thegef.org/project/sustainable-farming-and-critical-habitat-conservation-achieve-biodiversity-mainstreaming-and"/>
    <hyperlink ref="D10" r:id="rId10" display="https://www.thegef.org/project/sustainable-forest-management-under-authority-cameroonian-councils"/>
    <hyperlink ref="H11" r:id="rId11" display="https://www.thegef.org/project/cbpf-msl-strengthening-management-effectiveness-sub-system-wetland-protected-areas"/>
    <hyperlink ref="K11" r:id="rId12" display="https://www.thegef.org/project/securing-biodiversity-conservation-and-sustainable-use-huangshan-municipality"/>
    <hyperlink ref="I11" r:id="rId13" display="https://www.thegef.org/project/cbpf-msl-strengthening-management-effectiveness-protected-area-landscape-altai-mountains-and"/>
    <hyperlink ref="G11" r:id="rId14" display="https://www.thegef.org/project/cbpf-msl-piloting-provincial-level-wetland-protected-area-system-jiangxi-province"/>
    <hyperlink ref="F11" r:id="rId15" display="https://www.thegef.org/project/cbpf-msl-strengthening-management-effectiveness-wetland-protected-area-system-hainan"/>
    <hyperlink ref="E11" r:id="rId16" display="https://www.thegef.org/project/cbpf-msl-strengthening-management-effectiveness-protected-area-network-daxing%E2%80%99anling"/>
    <hyperlink ref="D11" r:id="rId17" display="https://www.thegef.org/project/cbpf-msl-strengthening-management-effectiveness-wetland-protected-area-system-anhui-province"/>
    <hyperlink ref="C11" r:id="rId18" display="https://www.thegef.org/project/chinas-protected-area-system-reform-c-par"/>
    <hyperlink ref="J11" r:id="rId19" display="https://www.thegef.org/project/landscape-approach-wildlife-conservation-northeastern-china"/>
    <hyperlink ref="G12" r:id="rId20" display="https://www.thegef.org/project/conservation-and-sustainable-use-biodiversity-dry-ecosystems-guarantee-flow-ecosystem"/>
    <hyperlink ref="D12" r:id="rId21" display="https://www.thegef.org/project/consolidation-national-system-protected-areassinap-national-and-regional-levels"/>
    <hyperlink ref="F12" r:id="rId22" display="https://www.thegef.org/project/sustainable-management-and-conservation-biodiversity-magdalena-river-basin"/>
    <hyperlink ref="E12" r:id="rId23" display="https://www.thegef.org/project/conservation-biodiversity-landscapes-impacted-mining-choco-biogeographic-region"/>
    <hyperlink ref="C13" r:id="rId24" display="https://www.thegef.org/project/development-national-network-terrestrial-and-marine-protected-areas-representative-comoros"/>
    <hyperlink ref="C14" r:id="rId25" display="https://www.thegef.org/project/creation-conkouati-dimonika-pa-complex-and-development-community-private-sector"/>
    <hyperlink ref="C15" r:id="rId26" display="https://www.thegef.org/project/conservation-sustainable-use-biodiversity-and-maintenance-ecosystem-services-internationally"/>
    <hyperlink ref="C17" r:id="rId27" display="https://www.thegef.org/project/democratic-republic-congo-conservation-trust-fund-af-national-parks-network-rehabilitation"/>
    <hyperlink ref="C16" r:id="rId28" display="https://www.thegef.org/project/landscape-approach-conservation-threatened-mountain-ecosystems"/>
    <hyperlink ref="C18" r:id="rId29" display="https://www.thegef.org/project/mainstreaming-conservation-and-sustainable-use-biodiversity-tourism-development-and"/>
    <hyperlink ref="C19" r:id="rId30" display="https://www.thegef.org/project/conservation-sustainable-use-biodiversity-and-maintenance-ecosystem-services-protected"/>
    <hyperlink ref="C20" r:id="rId31" display="https://www.thegef.org/project/integrated-semenawi-and-debubawi-bahri-buri-irrori-hawakil-protected-area-system"/>
    <hyperlink ref="C22" r:id="rId32" display="https://www.thegef.org/project/implementing-ridge-reef-approach-preserve-ecosystem-services-sequester-carbon-improve"/>
    <hyperlink ref="C23" r:id="rId33" display="https://www.thegef.org/project/gambia-protected-areas-network-and-community-livelihood-project"/>
    <hyperlink ref="C24" r:id="rId34" display="https://www.thegef.org/project/expansion-and-improved-management-effectiveness-achara-region%E2%80%99s-protected-areas"/>
    <hyperlink ref="C25" r:id="rId35" display="https://www.thegef.org/project/implementing-ridge-reef-approach-protecting-biodiversity-and-ecosystem-functions-within-and"/>
    <hyperlink ref="C26" r:id="rId36" display="https://www.thegef.org/project/developing-effective-multiple-use-management-framework-conserving-biodiversity-mountain"/>
    <hyperlink ref="C27" r:id="rId37" display="https://www.thegef.org/project/enhancing-protected-area-system-sulawesi-e-pass-biodiversity-conservation"/>
    <hyperlink ref="C28" r:id="rId38" display="https://www.thegef.org/project/building-multiple-use-forest-management-framework-conserve-biodiversity-caspian-hyrcanian"/>
    <hyperlink ref="C29" r:id="rId39" display="https://www.thegef.org/project/initial-steps-establishment-national-protected-areas-network"/>
    <hyperlink ref="D30" r:id="rId40" display="https://www.thegef.org/project/improving-sustainability-pa-system-desert-ecosystems-through-promotion-biodiversity"/>
    <hyperlink ref="C30" r:id="rId41" display="https://www.thegef.org/project/conservation-and-sustainable-management-key-globally-important-ecosystems-multiple-benefits"/>
    <hyperlink ref="C31" r:id="rId42" display="https://www.thegef.org/project/resilient-islands-resilient-communities"/>
    <hyperlink ref="D32" r:id="rId43" display="https://www.thegef.org/project/improving-coverage-and-management-effectiveness-pas-central-tian-shan-mountains"/>
    <hyperlink ref="C32" r:id="rId44" display="https://www.thegef.org/project/conservation-globally-important-biodiversity-and-associated-land-and-forest-resources"/>
    <hyperlink ref="C33" r:id="rId45" display="https://www.thegef.org/project/sustainable-forest-and-land-management-dry-dipterocarp-forest-ecosystems-southern-lao-pdr"/>
    <hyperlink ref="C36" r:id="rId46" display="https://www.thegef.org/project/mainstreaming-ias-prevention-control-and-management"/>
    <hyperlink ref="D37" r:id="rId47" display="https://www.thegef.org/project/strengthening-management-pa-system-better-conserve-endangered-species-and-their-habitats"/>
    <hyperlink ref="F37" r:id="rId48" display="https://www.thegef.org/project/strengthening-management-effectiveness-and-resilience-protected-areas-safeguard-biodiversity"/>
    <hyperlink ref="C37" r:id="rId49" display="https://www.thegef.org/project/conservation-and-sustainable-use-biological-diversity-priority-landscapes-oaxaca-and-chiapas"/>
    <hyperlink ref="E37" r:id="rId50" display="https://www.thegef.org/project/conservation-coastal-watersheds-achieve-multiple-global-environmental-benefits-context"/>
    <hyperlink ref="D39" r:id="rId51" display="https://www.thegef.org/project/network-managed-resource-protected-areas"/>
    <hyperlink ref="C39" r:id="rId52" display="https://www.thegef.org/project/ensuring-sustainability-and-resilience-ensure-green-landscapes-mongolia"/>
    <hyperlink ref="C40" r:id="rId53" display="https://www.thegef.org/project/strengthening-conservation-globally-threatened-species-mozambique-through-improving-0"/>
    <hyperlink ref="D41" r:id="rId54" display="https://www.thegef.org/project/strengthening-sustainability-protected-area-management"/>
    <hyperlink ref="C41" r:id="rId55" display="https://www.thegef.org/project/ridge-reef-integrated-protected-area-land-and-seascape-management-tanintharyi"/>
    <hyperlink ref="C42" r:id="rId56" display="https://www.thegef.org/project/application-ridge-reef-concept-biodiversity-conservation-and-enhancement-ecosystem-service"/>
    <hyperlink ref="C44" r:id="rId57" display="https://www.thegef.org/project/r2r-advancing-sustainable-resources-management-improve-livelihoods-and-protect-biodiversity"/>
    <hyperlink ref="C43" r:id="rId58" display="https://www.thegef.org/project/pakistan-snow-leopard-and-ecosystem-protection-program-resubmission"/>
    <hyperlink ref="C45" r:id="rId59" display="https://www.thegef.org/project/r2r-strengthening-management-effectiveness-national-system-protected-areas"/>
    <hyperlink ref="C46" r:id="rId60" display="https://www.thegef.org/project/conservation-management-and-rehabilitation-fragile-lomas-ecosystems"/>
    <hyperlink ref="D46" r:id="rId61" display="https://www.thegef.org/project/transforming-management-protected-arealandscape-complexes-strengthen-ecosystem-resilience"/>
    <hyperlink ref="C68" r:id="rId62" display="https://www.thegef.org/project/strengthening-management-effectiveness-and-generating-multiple-environmental-benefits-within"/>
    <hyperlink ref="D67" r:id="rId63" display="https://www.thegef.org/project/conservation-critical-wetland-pas-and-linked-landscapes"/>
    <hyperlink ref="C67" r:id="rId64" display="https://www.thegef.org/project/mainstreaming-natural-resource-management-and-biodiversity-conservation-objectives-socio"/>
    <hyperlink ref="C66" r:id="rId65" display="https://www.thegef.org/project/r2r-integrated-sustainable-land-and-coastal-management"/>
    <hyperlink ref="C65" r:id="rId66" display="https://www.thegef.org/project/sustainable-natural-resource-use-and-forest-management-key-mountainous-areas-important"/>
    <hyperlink ref="C63" r:id="rId67" display="https://www.thegef.org/project/enhancing-forest-nature-reserves-network-biodiversity-conservation-tanzania"/>
    <hyperlink ref="C62" r:id="rId68" display="https://www.thegef.org/project/conservation-and-sustainable-use-threatened-savanna-woodland-kidepo-critical-landscape-north"/>
    <hyperlink ref="D61" r:id="rId69" display="https://www.thegef.org/project/integrated-approach-management-forests-demonstration-high-conservation-value-forests"/>
    <hyperlink ref="C61" r:id="rId70" display="https://www.thegef.org/project/conservation-and-sustainable-management-turkeys-steppe-ecosystems"/>
    <hyperlink ref="C60" r:id="rId71" display="https://www.thegef.org/project/improving-forest-and-protected-area-management"/>
    <hyperlink ref="C59" r:id="rId72" display="https://www.thegef.org/project/securing-long-term-conservation-timor-leste-biodiversity-and-ecosystem-services-through"/>
    <hyperlink ref="C48" r:id="rId73" display="https://www.thegef.org/project/achieving-biodiversity-conservation-through-creation-and-effective-management-protected"/>
    <hyperlink ref="C58" r:id="rId74" display="https://www.thegef.org/project/maximizing-carbon-sink-capacity-and-conserving-biodiversity-through-sustainable-conservation"/>
    <hyperlink ref="C57" r:id="rId75" display="https://www.thegef.org/project/conservation-and-sustainable-use-pamir-alay-and-tian-shan-ecosystems-snow-leopard-protection"/>
    <hyperlink ref="C21" r:id="rId76" display="https://www.thegef.org/project/strengthening-national-protected-areas-system-swaziland"/>
    <hyperlink ref="C54" r:id="rId77" display="https://www.thegef.org/project/improving-management-effectiveness-protected-area-network"/>
    <hyperlink ref="C53" r:id="rId78" display="https://www.thegef.org/project/erepa-ensuring-resilient-ecosystems-and-representative-protected-areas-solomon-islands"/>
    <hyperlink ref="C50" r:id="rId79" display="https://www.thegef.org/project/conserving-biodiversity-and-reducing-habitat-degradation-protected-areas-and-their-buffer"/>
    <hyperlink ref="C51" r:id="rId80" display="https://www.thegef.org/project/integrated-ecosystem-management-and-restoration-forests-south-east-coast-st-lucia"/>
    <hyperlink ref="C52" r:id="rId81" display="https://www.thegef.org/project/conserving-biodiversity-and-reducing-land-degradation-using-ridge-reef-approach"/>
    <hyperlink ref="C64" r:id="rId82" display="https://www.thegef.org/project/strengthening-effectiveness-national-protected-area-system-including-landscape-approach"/>
    <hyperlink ref="C55" r:id="rId83" display="https://www.thegef.org/project/enhancing-biodiversity-conservation-and-sustenance-ecosystem-services-environmentally"/>
    <hyperlink ref="C6" r:id="rId84" display="https://www.thegef.org/project/landscape-approach-management-peatlands-aiming-multiple-ecological-benefits"/>
    <hyperlink ref="C9" r:id="rId85" display="https://www.thegef.org/project/amazon-sustainable-landscapes-project"/>
    <hyperlink ref="C12" r:id="rId86" display="https://www.thegef.org/project/contributing-integrated-management-biodiversity-pacific-region-colombia-build-peace"/>
    <hyperlink ref="C38" r:id="rId87" display="5517"/>
    <hyperlink ref="C47" r:id="rId88" display="https://www.thegef.org/project/strengthening-national-systems-improve-governance-and-management-indigenous-peoples-and"/>
    <hyperlink ref="C49" r:id="rId89" display="https://www.thegef.org/project/arctic-conserving-biodiversity-changing-arctic"/>
    <hyperlink ref="D53" r:id="rId90" display="https://www.thegef.org/project/integrated-forest-management-solomon-islands"/>
    <hyperlink ref="C56" r:id="rId91" display="https://www.thegef.org/project/strengthened-protected-areas-system-and-integrated-ecosystem-management-sudan"/>
  </hyperlinks>
  <pageMargins left="0.7" right="0.7" top="0.75" bottom="0.75" header="0.3" footer="0.3"/>
  <pageSetup paperSize="9" orientation="portrait" r:id="rId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opLeftCell="A76" zoomScaleNormal="100" workbookViewId="0">
      <selection activeCell="D37" sqref="D37"/>
    </sheetView>
  </sheetViews>
  <sheetFormatPr defaultRowHeight="15" x14ac:dyDescent="0.25"/>
  <cols>
    <col min="1" max="1" width="18.85546875" style="12" customWidth="1"/>
    <col min="2" max="2" width="47" style="183" customWidth="1"/>
    <col min="3" max="3" width="10.5703125" style="12" customWidth="1"/>
    <col min="4" max="4" width="21" style="12" customWidth="1"/>
    <col min="5" max="5" width="12.140625" style="12" customWidth="1"/>
    <col min="6" max="7" width="9.140625" style="145"/>
    <col min="8" max="16384" width="9.140625" style="12"/>
  </cols>
  <sheetData>
    <row r="1" spans="1:7" ht="60.75" thickBot="1" x14ac:dyDescent="0.3">
      <c r="A1" s="143" t="s">
        <v>244</v>
      </c>
      <c r="B1" s="177" t="s">
        <v>312</v>
      </c>
      <c r="C1" s="178" t="s">
        <v>260</v>
      </c>
      <c r="D1" s="177" t="s">
        <v>488</v>
      </c>
      <c r="E1" s="179" t="s">
        <v>261</v>
      </c>
      <c r="G1" s="180"/>
    </row>
    <row r="2" spans="1:7" ht="38.25" x14ac:dyDescent="0.25">
      <c r="A2" s="19" t="s">
        <v>235</v>
      </c>
      <c r="B2" s="181" t="s">
        <v>341</v>
      </c>
      <c r="C2" s="20">
        <v>0.1</v>
      </c>
      <c r="D2" s="21">
        <f>SUMIF(newAllCountry!A$2:A$247, NBSAPs!A2, newAllCountry!G$2:G$247)</f>
        <v>51334.823419999993</v>
      </c>
      <c r="E2" s="103" t="s">
        <v>283</v>
      </c>
      <c r="G2" s="182"/>
    </row>
    <row r="3" spans="1:7" ht="25.5" x14ac:dyDescent="0.25">
      <c r="A3" s="19" t="s">
        <v>220</v>
      </c>
      <c r="B3" s="125" t="s">
        <v>342</v>
      </c>
      <c r="C3" s="20">
        <v>0.17</v>
      </c>
      <c r="D3" s="21">
        <f>SUMIF(newAllCountry!A$2:A$247, NBSAPs!A3, newAllCountry!G$2:G$247)</f>
        <v>0</v>
      </c>
      <c r="E3" s="22">
        <v>54</v>
      </c>
      <c r="G3" s="182"/>
    </row>
    <row r="4" spans="1:7" ht="25.5" x14ac:dyDescent="0.25">
      <c r="A4" s="19" t="s">
        <v>90</v>
      </c>
      <c r="B4" s="125" t="s">
        <v>405</v>
      </c>
      <c r="C4" s="20">
        <v>0.2</v>
      </c>
      <c r="D4" s="130" t="s">
        <v>284</v>
      </c>
      <c r="E4" s="22" t="s">
        <v>285</v>
      </c>
      <c r="G4" s="182"/>
    </row>
    <row r="5" spans="1:7" ht="30" x14ac:dyDescent="0.25">
      <c r="A5" s="19" t="s">
        <v>206</v>
      </c>
      <c r="B5" s="125" t="s">
        <v>343</v>
      </c>
      <c r="C5" s="20">
        <v>0.17</v>
      </c>
      <c r="D5" s="21">
        <f>SUMIF(newAllCountry!A$2:A$247, NBSAPs!A5, newAllCountry!G$2:G$247)</f>
        <v>0</v>
      </c>
      <c r="E5" s="22" t="s">
        <v>262</v>
      </c>
      <c r="G5" s="182"/>
    </row>
    <row r="6" spans="1:7" ht="25.5" x14ac:dyDescent="0.25">
      <c r="A6" s="19" t="s">
        <v>13</v>
      </c>
      <c r="B6" s="125" t="s">
        <v>344</v>
      </c>
      <c r="C6" s="20">
        <v>0.13</v>
      </c>
      <c r="D6" s="21">
        <f>SUMIF(newAllCountry!A$2:A$247, NBSAPs!A6, newAllCountry!G$2:G$247)</f>
        <v>0</v>
      </c>
      <c r="E6" s="23" t="s">
        <v>263</v>
      </c>
      <c r="G6" s="182"/>
    </row>
    <row r="7" spans="1:7" ht="38.25" x14ac:dyDescent="0.25">
      <c r="A7" s="19" t="s">
        <v>195</v>
      </c>
      <c r="B7" s="127" t="s">
        <v>345</v>
      </c>
      <c r="C7" s="24" t="s">
        <v>273</v>
      </c>
      <c r="D7" s="21">
        <f>SUMIF(newAllCountry!A$2:A$247, NBSAPs!A7, newAllCountry!G$2:G$247)</f>
        <v>10396.754800799999</v>
      </c>
      <c r="E7" s="25" t="s">
        <v>263</v>
      </c>
      <c r="G7" s="182"/>
    </row>
    <row r="8" spans="1:7" ht="25.5" x14ac:dyDescent="0.25">
      <c r="A8" s="80" t="s">
        <v>117</v>
      </c>
      <c r="B8" s="127" t="s">
        <v>454</v>
      </c>
      <c r="C8" s="136">
        <v>0.03</v>
      </c>
      <c r="D8" s="135" t="s">
        <v>317</v>
      </c>
      <c r="E8" s="137">
        <v>67</v>
      </c>
      <c r="G8" s="182"/>
    </row>
    <row r="9" spans="1:7" ht="38.25" x14ac:dyDescent="0.25">
      <c r="A9" s="19" t="s">
        <v>23</v>
      </c>
      <c r="B9" s="125" t="s">
        <v>404</v>
      </c>
      <c r="C9" s="28">
        <v>0.22</v>
      </c>
      <c r="D9" s="41">
        <f>newAllCountry!G21</f>
        <v>26007.114387999998</v>
      </c>
      <c r="E9" s="40">
        <v>9</v>
      </c>
      <c r="G9" s="182"/>
    </row>
    <row r="10" spans="1:7" ht="25.5" x14ac:dyDescent="0.25">
      <c r="A10" s="19" t="s">
        <v>56</v>
      </c>
      <c r="B10" s="125" t="s">
        <v>403</v>
      </c>
      <c r="C10" s="20">
        <v>0.17</v>
      </c>
      <c r="D10" s="21">
        <f>SUMIF(newAllCountry!A$2:A$247, NBSAPs!A10, newAllCountry!G$2:G$247)</f>
        <v>0</v>
      </c>
      <c r="E10" s="22" t="s">
        <v>286</v>
      </c>
      <c r="G10" s="182"/>
    </row>
    <row r="11" spans="1:7" ht="51" x14ac:dyDescent="0.25">
      <c r="A11" s="19" t="s">
        <v>120</v>
      </c>
      <c r="B11" s="125" t="s">
        <v>402</v>
      </c>
      <c r="C11" s="20">
        <v>0.1</v>
      </c>
      <c r="D11" s="21">
        <f>SUMIF(newAllCountry!A$2:A$247, NBSAPs!A11, newAllCountry!G$2:G$247)</f>
        <v>0</v>
      </c>
      <c r="E11" s="22" t="s">
        <v>287</v>
      </c>
      <c r="G11" s="182"/>
    </row>
    <row r="12" spans="1:7" ht="25.5" x14ac:dyDescent="0.25">
      <c r="A12" s="19" t="s">
        <v>110</v>
      </c>
      <c r="B12" s="125" t="s">
        <v>401</v>
      </c>
      <c r="C12" s="20">
        <v>0.25</v>
      </c>
      <c r="D12" s="130" t="s">
        <v>292</v>
      </c>
      <c r="E12" s="22" t="s">
        <v>288</v>
      </c>
      <c r="G12" s="182"/>
    </row>
    <row r="13" spans="1:7" ht="30" x14ac:dyDescent="0.25">
      <c r="A13" s="26" t="s">
        <v>122</v>
      </c>
      <c r="B13" s="127" t="s">
        <v>400</v>
      </c>
      <c r="C13" s="131" t="s">
        <v>290</v>
      </c>
      <c r="D13" s="21">
        <f>SUMIF(newAllCountry!A$2:A$247, NBSAPs!A13, newAllCountry!G$2:G$247)</f>
        <v>324010.31105470005</v>
      </c>
      <c r="E13" s="40">
        <v>68</v>
      </c>
      <c r="G13" s="182"/>
    </row>
    <row r="14" spans="1:7" ht="25.5" x14ac:dyDescent="0.25">
      <c r="A14" s="19" t="s">
        <v>38</v>
      </c>
      <c r="B14" s="125" t="s">
        <v>399</v>
      </c>
      <c r="C14" s="27">
        <v>0.1</v>
      </c>
      <c r="D14" s="21">
        <f>SUMIF(newAllCountry!A$2:A$247, NBSAPs!A14, newAllCountry!G$2:G$247)</f>
        <v>0</v>
      </c>
      <c r="E14" s="22" t="s">
        <v>291</v>
      </c>
      <c r="G14" s="182"/>
    </row>
    <row r="15" spans="1:7" ht="25.5" x14ac:dyDescent="0.25">
      <c r="A15" s="19" t="s">
        <v>61</v>
      </c>
      <c r="B15" s="125" t="s">
        <v>398</v>
      </c>
      <c r="C15" s="27">
        <v>0.2</v>
      </c>
      <c r="D15" s="130" t="s">
        <v>292</v>
      </c>
      <c r="E15" s="22" t="s">
        <v>293</v>
      </c>
      <c r="G15" s="182"/>
    </row>
    <row r="16" spans="1:7" ht="25.5" x14ac:dyDescent="0.25">
      <c r="A16" s="134" t="s">
        <v>234</v>
      </c>
      <c r="B16" s="127" t="s">
        <v>452</v>
      </c>
      <c r="C16" s="131">
        <v>0.3</v>
      </c>
      <c r="D16" s="41">
        <f>SUMIF(newAllCountry!A$2:A$247, NBSAPs!A16, newAllCountry!G$2:G$247)</f>
        <v>75220.297449999984</v>
      </c>
      <c r="E16" s="22" t="s">
        <v>294</v>
      </c>
      <c r="F16" s="12"/>
      <c r="G16" s="182"/>
    </row>
    <row r="17" spans="1:7" ht="25.5" x14ac:dyDescent="0.25">
      <c r="A17" s="19" t="s">
        <v>3</v>
      </c>
      <c r="B17" s="125" t="s">
        <v>512</v>
      </c>
      <c r="C17" s="20">
        <v>0.17</v>
      </c>
      <c r="D17" s="21">
        <f>SUMIF(newAllCountry!A$2:A$247, NBSAPs!A17, newAllCountry!G$2:G$247)</f>
        <v>734251.5999700001</v>
      </c>
      <c r="E17" s="22" t="s">
        <v>265</v>
      </c>
      <c r="G17" s="182"/>
    </row>
    <row r="18" spans="1:7" ht="25.5" x14ac:dyDescent="0.25">
      <c r="A18" s="144" t="s">
        <v>26</v>
      </c>
      <c r="B18" s="183" t="s">
        <v>397</v>
      </c>
      <c r="C18" s="20">
        <v>0.15</v>
      </c>
      <c r="D18" s="21">
        <f>SUMIF(newAllCountry!A$2:A$247, NBSAPs!A18, newAllCountry!G$2:G$247)</f>
        <v>0</v>
      </c>
      <c r="E18" s="22">
        <v>10</v>
      </c>
      <c r="G18" s="182"/>
    </row>
    <row r="19" spans="1:7" ht="25.5" x14ac:dyDescent="0.25">
      <c r="A19" s="19" t="s">
        <v>109</v>
      </c>
      <c r="B19" s="125" t="s">
        <v>396</v>
      </c>
      <c r="C19" s="20">
        <v>0.17</v>
      </c>
      <c r="D19" s="130" t="s">
        <v>284</v>
      </c>
      <c r="E19" s="22" t="s">
        <v>295</v>
      </c>
      <c r="G19" s="182"/>
    </row>
    <row r="20" spans="1:7" ht="38.25" x14ac:dyDescent="0.25">
      <c r="A20" s="19" t="s">
        <v>9</v>
      </c>
      <c r="B20" s="125" t="s">
        <v>395</v>
      </c>
      <c r="C20" s="28">
        <v>0.2</v>
      </c>
      <c r="D20" s="21">
        <f>SUMIF(newAllCountry!A$2:A$247, NBSAPs!A20, newAllCountry!G$2:G$247)</f>
        <v>0</v>
      </c>
      <c r="E20" s="22">
        <v>103</v>
      </c>
      <c r="G20" s="182"/>
    </row>
    <row r="21" spans="1:7" ht="25.5" x14ac:dyDescent="0.25">
      <c r="A21" s="19" t="s">
        <v>145</v>
      </c>
      <c r="B21" s="125" t="s">
        <v>394</v>
      </c>
      <c r="C21" s="28" t="s">
        <v>296</v>
      </c>
      <c r="D21" s="21">
        <f>SUMIF(newAllCountry!A$2:A$247, NBSAPs!A21, newAllCountry!G$2:G$247)</f>
        <v>0</v>
      </c>
      <c r="E21" s="22" t="s">
        <v>297</v>
      </c>
      <c r="G21" s="182"/>
    </row>
    <row r="22" spans="1:7" x14ac:dyDescent="0.25">
      <c r="A22" s="26" t="s">
        <v>12</v>
      </c>
      <c r="B22" s="127" t="s">
        <v>393</v>
      </c>
      <c r="C22" s="28">
        <v>0.2</v>
      </c>
      <c r="D22" s="21">
        <f>SUMIF(newAllCountry!A$2:A$247, NBSAPs!A22, newAllCountry!G$2:G$247)</f>
        <v>2698.0856600000043</v>
      </c>
      <c r="E22" s="22" t="s">
        <v>266</v>
      </c>
      <c r="G22" s="182"/>
    </row>
    <row r="23" spans="1:7" ht="45" x14ac:dyDescent="0.25">
      <c r="A23" s="26" t="s">
        <v>104</v>
      </c>
      <c r="B23" s="127" t="s">
        <v>392</v>
      </c>
      <c r="C23" s="28">
        <v>0.08</v>
      </c>
      <c r="D23" s="21">
        <f>SUMIF(newAllCountry!A$2:A$247, NBSAPs!A23, newAllCountry!G$2:G$247)</f>
        <v>0</v>
      </c>
      <c r="E23" s="22" t="s">
        <v>298</v>
      </c>
      <c r="G23" s="182"/>
    </row>
    <row r="24" spans="1:7" ht="45" x14ac:dyDescent="0.25">
      <c r="A24" s="26" t="s">
        <v>189</v>
      </c>
      <c r="B24" s="127" t="s">
        <v>391</v>
      </c>
      <c r="C24" s="28">
        <v>0.17</v>
      </c>
      <c r="D24" s="21">
        <f>SUMIF(newAllCountry!A$2:A$247, NBSAPs!A24, newAllCountry!G$2:G$247)</f>
        <v>45534.35017000002</v>
      </c>
      <c r="E24" s="22" t="s">
        <v>299</v>
      </c>
      <c r="G24" s="182"/>
    </row>
    <row r="25" spans="1:7" ht="25.5" x14ac:dyDescent="0.25">
      <c r="A25" s="19" t="s">
        <v>77</v>
      </c>
      <c r="B25" s="125" t="s">
        <v>390</v>
      </c>
      <c r="C25" s="20">
        <v>0.2</v>
      </c>
      <c r="D25" s="21">
        <f>SUMIF(newAllCountry!A$2:A$247, NBSAPs!A25, newAllCountry!G$2:G$247)</f>
        <v>0</v>
      </c>
      <c r="E25" s="22" t="s">
        <v>267</v>
      </c>
      <c r="G25" s="182"/>
    </row>
    <row r="26" spans="1:7" ht="25.5" x14ac:dyDescent="0.25">
      <c r="A26" s="19" t="s">
        <v>152</v>
      </c>
      <c r="B26" s="125" t="s">
        <v>389</v>
      </c>
      <c r="C26" s="20">
        <v>0.17</v>
      </c>
      <c r="D26" s="130" t="s">
        <v>284</v>
      </c>
      <c r="E26" s="39" t="s">
        <v>264</v>
      </c>
      <c r="G26" s="182"/>
    </row>
    <row r="27" spans="1:7" ht="25.5" x14ac:dyDescent="0.25">
      <c r="A27" s="19" t="s">
        <v>184</v>
      </c>
      <c r="B27" s="125" t="s">
        <v>388</v>
      </c>
      <c r="C27" s="29" t="s">
        <v>300</v>
      </c>
      <c r="D27" s="21">
        <f>SUMIF(newAllCountry!A$2:A$247, NBSAPs!A27, newAllCountry!G$2:G$247)</f>
        <v>0</v>
      </c>
      <c r="E27" s="22" t="s">
        <v>301</v>
      </c>
      <c r="G27" s="182"/>
    </row>
    <row r="28" spans="1:7" ht="25.5" x14ac:dyDescent="0.25">
      <c r="A28" s="19" t="s">
        <v>418</v>
      </c>
      <c r="B28" s="125" t="s">
        <v>357</v>
      </c>
      <c r="C28" s="20">
        <v>0.2</v>
      </c>
      <c r="D28" s="130" t="s">
        <v>304</v>
      </c>
      <c r="E28" s="22" t="s">
        <v>318</v>
      </c>
      <c r="G28" s="182"/>
    </row>
    <row r="29" spans="1:7" ht="38.25" x14ac:dyDescent="0.25">
      <c r="A29" s="19" t="s">
        <v>164</v>
      </c>
      <c r="B29" s="125" t="s">
        <v>387</v>
      </c>
      <c r="C29" s="29">
        <v>0.2</v>
      </c>
      <c r="D29" s="21">
        <f>SUMIF(newAllCountry!A$2:A$247, NBSAPs!A29, newAllCountry!G$2:G$247)</f>
        <v>27011.845399999991</v>
      </c>
      <c r="E29" s="22" t="s">
        <v>302</v>
      </c>
      <c r="G29" s="182"/>
    </row>
    <row r="30" spans="1:7" ht="51" x14ac:dyDescent="0.25">
      <c r="A30" s="19" t="s">
        <v>227</v>
      </c>
      <c r="B30" s="125" t="s">
        <v>386</v>
      </c>
      <c r="C30" s="20">
        <v>0.17</v>
      </c>
      <c r="D30" s="21">
        <f>SUMIF(newAllCountry!A$2:A$247, NBSAPs!A30, newAllCountry!G$2:G$247)</f>
        <v>6644.7000000000044</v>
      </c>
      <c r="E30" s="23">
        <v>24</v>
      </c>
      <c r="G30" s="182"/>
    </row>
    <row r="31" spans="1:7" ht="25.5" x14ac:dyDescent="0.25">
      <c r="A31" s="19" t="s">
        <v>268</v>
      </c>
      <c r="B31" s="125" t="s">
        <v>385</v>
      </c>
      <c r="C31" s="20">
        <v>0.05</v>
      </c>
      <c r="D31" s="21">
        <f>SUMIF(newAllCountry!A$2:A$247, NBSAPs!A31, newAllCountry!G$2:G$247)</f>
        <v>0</v>
      </c>
      <c r="E31" s="22" t="s">
        <v>269</v>
      </c>
      <c r="G31" s="182"/>
    </row>
    <row r="32" spans="1:7" ht="25.5" x14ac:dyDescent="0.25">
      <c r="A32" s="19" t="s">
        <v>68</v>
      </c>
      <c r="B32" s="125" t="s">
        <v>384</v>
      </c>
      <c r="C32" s="20">
        <v>0.12</v>
      </c>
      <c r="D32" s="21">
        <f>SUMIF(newAllCountry!A$2:A$247, NBSAPs!A32, newAllCountry!G$2:G$247)</f>
        <v>2455.5262043999996</v>
      </c>
      <c r="E32" s="22">
        <v>32</v>
      </c>
      <c r="G32" s="182"/>
    </row>
    <row r="33" spans="1:7" ht="25.5" x14ac:dyDescent="0.25">
      <c r="A33" s="19" t="s">
        <v>191</v>
      </c>
      <c r="B33" s="125" t="s">
        <v>383</v>
      </c>
      <c r="C33" s="20">
        <v>0.17</v>
      </c>
      <c r="D33" s="130" t="s">
        <v>284</v>
      </c>
      <c r="E33" s="22" t="s">
        <v>303</v>
      </c>
      <c r="G33" s="182"/>
    </row>
    <row r="34" spans="1:7" ht="51" x14ac:dyDescent="0.25">
      <c r="A34" s="80" t="s">
        <v>186</v>
      </c>
      <c r="B34" s="127" t="s">
        <v>406</v>
      </c>
      <c r="C34" s="81">
        <v>0.4</v>
      </c>
      <c r="D34" s="130" t="s">
        <v>304</v>
      </c>
      <c r="E34" s="22">
        <v>99</v>
      </c>
      <c r="G34" s="182"/>
    </row>
    <row r="35" spans="1:7" ht="25.5" x14ac:dyDescent="0.25">
      <c r="A35" s="19" t="s">
        <v>8</v>
      </c>
      <c r="B35" s="127" t="s">
        <v>456</v>
      </c>
      <c r="C35" s="138" t="s">
        <v>455</v>
      </c>
      <c r="D35" s="21">
        <f>SUMIF(newAllCountry!A$2:A$247, NBSAPs!A35, newAllCountry!G$2:G$247)</f>
        <v>0</v>
      </c>
      <c r="E35" s="30" t="s">
        <v>270</v>
      </c>
      <c r="G35" s="182"/>
    </row>
    <row r="36" spans="1:7" ht="25.5" x14ac:dyDescent="0.25">
      <c r="A36" s="19" t="s">
        <v>98</v>
      </c>
      <c r="B36" s="127" t="s">
        <v>382</v>
      </c>
      <c r="C36" s="20">
        <v>0.17</v>
      </c>
      <c r="D36" s="21">
        <f>SUMIF(newAllCountry!A$2:A$247, NBSAPs!A36, newAllCountry!G$2:G$247)</f>
        <v>17450.445611000003</v>
      </c>
      <c r="E36" s="30" t="s">
        <v>305</v>
      </c>
      <c r="G36" s="182"/>
    </row>
    <row r="37" spans="1:7" ht="25.5" x14ac:dyDescent="0.25">
      <c r="A37" s="113" t="s">
        <v>45</v>
      </c>
      <c r="B37" s="127" t="s">
        <v>412</v>
      </c>
      <c r="C37" s="20">
        <v>0.2</v>
      </c>
      <c r="D37" s="21">
        <f>SUMIF(newAllCountry!A$2:A$247, NBSAPs!A37, newAllCountry!G$2:G$247)</f>
        <v>429457.99920000002</v>
      </c>
      <c r="E37" s="30" t="s">
        <v>413</v>
      </c>
      <c r="G37" s="182"/>
    </row>
    <row r="38" spans="1:7" ht="30" x14ac:dyDescent="0.25">
      <c r="A38" s="19" t="s">
        <v>6</v>
      </c>
      <c r="B38" s="127" t="s">
        <v>381</v>
      </c>
      <c r="C38" s="20">
        <v>0.2</v>
      </c>
      <c r="D38" s="130" t="s">
        <v>284</v>
      </c>
      <c r="E38" s="30" t="s">
        <v>306</v>
      </c>
      <c r="G38" s="182"/>
    </row>
    <row r="39" spans="1:7" ht="25.5" x14ac:dyDescent="0.25">
      <c r="A39" s="19" t="s">
        <v>180</v>
      </c>
      <c r="B39" s="125" t="s">
        <v>358</v>
      </c>
      <c r="C39" s="20">
        <v>0.17</v>
      </c>
      <c r="D39" s="21">
        <f>SUMIF(newAllCountry!A$2:A$247, NBSAPs!A39, newAllCountry!G$2:G$247)</f>
        <v>119.82071630000019</v>
      </c>
      <c r="E39" s="25" t="s">
        <v>294</v>
      </c>
      <c r="G39" s="182"/>
    </row>
    <row r="40" spans="1:7" ht="25.5" x14ac:dyDescent="0.25">
      <c r="A40" s="19" t="s">
        <v>148</v>
      </c>
      <c r="B40" s="183" t="s">
        <v>380</v>
      </c>
      <c r="C40" s="20">
        <v>0.17</v>
      </c>
      <c r="D40" s="21">
        <f>SUMIF(newAllCountry!A$2:A$247, NBSAPs!A40, newAllCountry!G$2:G$247)</f>
        <v>0</v>
      </c>
      <c r="E40" s="104" t="s">
        <v>307</v>
      </c>
      <c r="G40" s="182"/>
    </row>
    <row r="41" spans="1:7" ht="38.25" x14ac:dyDescent="0.25">
      <c r="A41" s="19" t="s">
        <v>40</v>
      </c>
      <c r="B41" s="125" t="s">
        <v>379</v>
      </c>
      <c r="C41" s="20">
        <v>0.02</v>
      </c>
      <c r="D41" s="21">
        <f>SUMIF(newAllCountry!A$2:A$247, NBSAPs!A41, newAllCountry!G$2:G$247)</f>
        <v>205.76680480000027</v>
      </c>
      <c r="E41" s="22" t="s">
        <v>308</v>
      </c>
      <c r="G41" s="182"/>
    </row>
    <row r="42" spans="1:7" ht="25.5" x14ac:dyDescent="0.25">
      <c r="A42" s="19" t="s">
        <v>75</v>
      </c>
      <c r="B42" s="125" t="s">
        <v>378</v>
      </c>
      <c r="C42" s="20">
        <v>0.1</v>
      </c>
      <c r="D42" s="130" t="s">
        <v>309</v>
      </c>
      <c r="E42" s="22">
        <v>16</v>
      </c>
      <c r="G42" s="182"/>
    </row>
    <row r="43" spans="1:7" ht="25.5" x14ac:dyDescent="0.25">
      <c r="A43" s="155" t="s">
        <v>187</v>
      </c>
      <c r="B43" s="157" t="s">
        <v>461</v>
      </c>
      <c r="C43" s="132">
        <v>0.2</v>
      </c>
      <c r="D43" s="130" t="s">
        <v>284</v>
      </c>
      <c r="E43" s="22" t="s">
        <v>460</v>
      </c>
      <c r="G43" s="182"/>
    </row>
    <row r="44" spans="1:7" ht="38.25" x14ac:dyDescent="0.25">
      <c r="A44" s="19" t="s">
        <v>20</v>
      </c>
      <c r="B44" s="125" t="s">
        <v>377</v>
      </c>
      <c r="C44" s="20">
        <v>0.04</v>
      </c>
      <c r="D44" s="21">
        <f>SUMIF(newAllCountry!A$2:A$247, NBSAPs!A44, newAllCountry!G$2:G$247)</f>
        <v>0</v>
      </c>
      <c r="E44" s="23" t="s">
        <v>310</v>
      </c>
      <c r="G44" s="182"/>
    </row>
    <row r="45" spans="1:7" ht="25.5" x14ac:dyDescent="0.25">
      <c r="A45" s="19" t="s">
        <v>17</v>
      </c>
      <c r="B45" s="125" t="s">
        <v>376</v>
      </c>
      <c r="C45" s="20">
        <v>0.1</v>
      </c>
      <c r="D45" s="130" t="s">
        <v>292</v>
      </c>
      <c r="E45" s="22" t="s">
        <v>311</v>
      </c>
      <c r="G45" s="182"/>
    </row>
    <row r="46" spans="1:7" ht="25.5" x14ac:dyDescent="0.25">
      <c r="A46" s="19" t="s">
        <v>123</v>
      </c>
      <c r="B46" s="125" t="s">
        <v>375</v>
      </c>
      <c r="C46" s="20">
        <v>0.2</v>
      </c>
      <c r="D46" s="130" t="s">
        <v>292</v>
      </c>
      <c r="E46" s="22" t="s">
        <v>313</v>
      </c>
      <c r="G46" s="182"/>
    </row>
    <row r="47" spans="1:7" ht="25.5" x14ac:dyDescent="0.25">
      <c r="A47" s="19" t="s">
        <v>229</v>
      </c>
      <c r="B47" s="183" t="s">
        <v>374</v>
      </c>
      <c r="C47" s="20">
        <v>0.15</v>
      </c>
      <c r="D47" s="21">
        <f>SUMIF(newAllCountry!A$2:A$247, NBSAPs!A47, newAllCountry!G$2:G$247)</f>
        <v>85057.277100000007</v>
      </c>
      <c r="E47" s="22" t="s">
        <v>325</v>
      </c>
      <c r="G47" s="182"/>
    </row>
    <row r="48" spans="1:7" ht="25.5" x14ac:dyDescent="0.25">
      <c r="A48" s="19" t="s">
        <v>66</v>
      </c>
      <c r="B48" s="127" t="s">
        <v>373</v>
      </c>
      <c r="C48" s="20">
        <v>0.13</v>
      </c>
      <c r="D48" s="21">
        <f>SUMIF(newAllCountry!A$2:A$247, NBSAPs!A48, newAllCountry!G$2:G$247)</f>
        <v>0</v>
      </c>
      <c r="E48" s="22">
        <v>8</v>
      </c>
      <c r="G48" s="182"/>
    </row>
    <row r="49" spans="1:7" ht="25.5" x14ac:dyDescent="0.25">
      <c r="A49" s="19" t="s">
        <v>74</v>
      </c>
      <c r="B49" s="125" t="s">
        <v>372</v>
      </c>
      <c r="C49" s="20">
        <v>0.16</v>
      </c>
      <c r="D49" s="130" t="s">
        <v>292</v>
      </c>
      <c r="E49" s="22" t="s">
        <v>328</v>
      </c>
      <c r="G49" s="182"/>
    </row>
    <row r="50" spans="1:7" ht="25.5" x14ac:dyDescent="0.25">
      <c r="A50" s="19" t="s">
        <v>2</v>
      </c>
      <c r="B50" s="125" t="s">
        <v>358</v>
      </c>
      <c r="C50" s="20">
        <v>0.17</v>
      </c>
      <c r="D50" s="21">
        <f>SUMIF(newAllCountry!A$2:A$247, NBSAPs!A50, newAllCountry!G$2:G$247)</f>
        <v>1804.562760000008</v>
      </c>
      <c r="E50" s="22">
        <v>294</v>
      </c>
      <c r="G50" s="182"/>
    </row>
    <row r="51" spans="1:7" ht="25.5" x14ac:dyDescent="0.25">
      <c r="A51" s="19" t="s">
        <v>194</v>
      </c>
      <c r="B51" s="125" t="s">
        <v>371</v>
      </c>
      <c r="C51" s="20">
        <v>0.3</v>
      </c>
      <c r="D51" s="130" t="s">
        <v>292</v>
      </c>
      <c r="E51" s="22" t="s">
        <v>329</v>
      </c>
      <c r="G51" s="182"/>
    </row>
    <row r="52" spans="1:7" ht="25.5" x14ac:dyDescent="0.25">
      <c r="A52" s="19" t="s">
        <v>100</v>
      </c>
      <c r="B52" s="125" t="s">
        <v>370</v>
      </c>
      <c r="C52" s="20">
        <v>0.17</v>
      </c>
      <c r="D52" s="21">
        <f>SUMIF(newAllCountry!A$2:A$247, NBSAPs!A52, newAllCountry!G$2:G$247)</f>
        <v>0</v>
      </c>
      <c r="E52" s="22">
        <v>76</v>
      </c>
      <c r="G52" s="182"/>
    </row>
    <row r="53" spans="1:7" ht="38.25" x14ac:dyDescent="0.25">
      <c r="A53" s="19" t="s">
        <v>46</v>
      </c>
      <c r="B53" s="125" t="s">
        <v>369</v>
      </c>
      <c r="C53" s="20">
        <v>0.17</v>
      </c>
      <c r="D53" s="21">
        <f>SUMIF(newAllCountry!A$2:A$247, NBSAPs!A53, newAllCountry!G$2:G$247)</f>
        <v>0</v>
      </c>
      <c r="E53" s="22" t="s">
        <v>330</v>
      </c>
      <c r="G53" s="182"/>
    </row>
    <row r="54" spans="1:7" ht="25.5" x14ac:dyDescent="0.25">
      <c r="A54" s="19" t="s">
        <v>32</v>
      </c>
      <c r="B54" s="125" t="s">
        <v>368</v>
      </c>
      <c r="C54" s="20">
        <v>0.08</v>
      </c>
      <c r="D54" s="21">
        <f>SUMIF(newAllCountry!A$2:A$247, NBSAPs!A54, newAllCountry!G$2:G$247)</f>
        <v>0</v>
      </c>
      <c r="E54" s="22" t="s">
        <v>288</v>
      </c>
      <c r="G54" s="182"/>
    </row>
    <row r="55" spans="1:7" ht="38.25" x14ac:dyDescent="0.25">
      <c r="A55" s="32" t="s">
        <v>156</v>
      </c>
      <c r="B55" s="127" t="s">
        <v>367</v>
      </c>
      <c r="C55" s="20">
        <v>0.3</v>
      </c>
      <c r="D55" s="130" t="s">
        <v>292</v>
      </c>
      <c r="E55" s="22">
        <v>23</v>
      </c>
      <c r="G55" s="182"/>
    </row>
    <row r="56" spans="1:7" ht="25.5" x14ac:dyDescent="0.25">
      <c r="A56" s="19" t="s">
        <v>101</v>
      </c>
      <c r="B56" s="125" t="s">
        <v>366</v>
      </c>
      <c r="C56" s="20" t="s">
        <v>326</v>
      </c>
      <c r="D56" s="21">
        <f>SUMIF(newAllCountry!A$2:A$247, NBSAPs!A56, newAllCountry!G$2:G$247)</f>
        <v>0</v>
      </c>
      <c r="E56" s="22" t="s">
        <v>331</v>
      </c>
      <c r="G56" s="182"/>
    </row>
    <row r="57" spans="1:7" ht="25.5" x14ac:dyDescent="0.25">
      <c r="A57" s="19" t="s">
        <v>162</v>
      </c>
      <c r="B57" s="125" t="s">
        <v>410</v>
      </c>
      <c r="C57" s="109">
        <v>0.17</v>
      </c>
      <c r="D57" s="21">
        <f>SUMIF(newAllCountry!A$2:A$247, NBSAPs!A57, newAllCountry!G$2:G$247)</f>
        <v>37196.341214</v>
      </c>
      <c r="E57" s="110" t="s">
        <v>411</v>
      </c>
      <c r="G57" s="182"/>
    </row>
    <row r="58" spans="1:7" ht="38.25" x14ac:dyDescent="0.25">
      <c r="A58" s="19" t="s">
        <v>58</v>
      </c>
      <c r="B58" s="126" t="s">
        <v>490</v>
      </c>
      <c r="C58" s="20">
        <v>0.2</v>
      </c>
      <c r="D58" s="21">
        <f>SUMIF(newAllCountry!A$2:A$247, NBSAPs!A58, newAllCountry!G$2:G$247)</f>
        <v>0</v>
      </c>
      <c r="E58" s="22" t="s">
        <v>449</v>
      </c>
      <c r="G58" s="182"/>
    </row>
    <row r="59" spans="1:7" ht="38.25" x14ac:dyDescent="0.25">
      <c r="A59" s="19" t="s">
        <v>175</v>
      </c>
      <c r="B59" s="125" t="s">
        <v>365</v>
      </c>
      <c r="C59" s="20">
        <v>0.17</v>
      </c>
      <c r="D59" s="21">
        <f>SUMIF(newAllCountry!A$2:A$247, NBSAPs!A59, newAllCountry!G$2:G$247)</f>
        <v>10781.731994999995</v>
      </c>
      <c r="E59" s="22">
        <v>90</v>
      </c>
      <c r="G59" s="182"/>
    </row>
    <row r="60" spans="1:7" x14ac:dyDescent="0.25">
      <c r="A60" s="19" t="s">
        <v>242</v>
      </c>
      <c r="B60" s="183" t="s">
        <v>489</v>
      </c>
      <c r="C60" s="20">
        <v>0.14000000000000001</v>
      </c>
      <c r="D60" s="21">
        <f>SUMIF(newAllCountry!A$2:A$247, NBSAPs!A60, newAllCountry!G$2:G$247)</f>
        <v>0</v>
      </c>
      <c r="E60" s="22" t="s">
        <v>332</v>
      </c>
      <c r="G60" s="182"/>
    </row>
    <row r="61" spans="1:7" ht="25.5" x14ac:dyDescent="0.25">
      <c r="A61" s="19" t="s">
        <v>15</v>
      </c>
      <c r="B61" s="125" t="s">
        <v>364</v>
      </c>
      <c r="C61" s="20">
        <v>0.17</v>
      </c>
      <c r="D61" s="21">
        <f>SUMIF(newAllCountry!A$2:A$247, NBSAPs!A61, newAllCountry!G$2:G$247)</f>
        <v>5313.1902392000011</v>
      </c>
      <c r="E61" s="22" t="s">
        <v>327</v>
      </c>
      <c r="G61" s="182"/>
    </row>
    <row r="62" spans="1:7" ht="30" x14ac:dyDescent="0.25">
      <c r="A62" s="19" t="s">
        <v>107</v>
      </c>
      <c r="B62" s="125" t="s">
        <v>363</v>
      </c>
      <c r="C62" s="28">
        <v>0.08</v>
      </c>
      <c r="D62" s="21">
        <f>SUMIF(newAllCountry!A$2:A$247, NBSAPs!A62, newAllCountry!G$2:G$247)</f>
        <v>0</v>
      </c>
      <c r="E62" s="22">
        <v>34</v>
      </c>
      <c r="G62" s="182"/>
    </row>
    <row r="63" spans="1:7" ht="51" x14ac:dyDescent="0.25">
      <c r="A63" s="19" t="s">
        <v>49</v>
      </c>
      <c r="B63" s="125" t="s">
        <v>465</v>
      </c>
      <c r="C63" s="20">
        <v>0.17</v>
      </c>
      <c r="D63" s="21">
        <f>SUMIF(newAllCountry!A$2:A$247, NBSAPs!A63, newAllCountry!G$2:G$247)</f>
        <v>1196321.1584000001</v>
      </c>
      <c r="E63" s="22" t="s">
        <v>324</v>
      </c>
      <c r="G63" s="182"/>
    </row>
    <row r="64" spans="1:7" ht="38.25" x14ac:dyDescent="0.25">
      <c r="A64" s="19" t="s">
        <v>42</v>
      </c>
      <c r="B64" s="125" t="s">
        <v>362</v>
      </c>
      <c r="C64" s="38">
        <v>0.10299999999999999</v>
      </c>
      <c r="D64" s="21">
        <f>SUMIF(newAllCountry!A$2:A$247, NBSAPs!A64, newAllCountry!G$2:G$247)</f>
        <v>301.83946003999972</v>
      </c>
      <c r="E64" s="22" t="s">
        <v>323</v>
      </c>
      <c r="G64" s="182"/>
    </row>
    <row r="65" spans="1:7" ht="38.25" x14ac:dyDescent="0.25">
      <c r="A65" s="80" t="s">
        <v>155</v>
      </c>
      <c r="B65" s="127" t="s">
        <v>492</v>
      </c>
      <c r="C65" s="20">
        <v>0.17</v>
      </c>
      <c r="D65" s="21">
        <f>SUMIF(newAllCountry!A$2:A$247, NBSAPs!A65, newAllCountry!G$2:G$247)</f>
        <v>0</v>
      </c>
      <c r="E65" s="22" t="s">
        <v>448</v>
      </c>
      <c r="G65" s="182"/>
    </row>
    <row r="66" spans="1:7" ht="25.5" x14ac:dyDescent="0.25">
      <c r="A66" s="19" t="s">
        <v>133</v>
      </c>
      <c r="B66" s="125" t="s">
        <v>358</v>
      </c>
      <c r="C66" s="20">
        <v>0.17</v>
      </c>
      <c r="D66" s="21">
        <f>SUMIF(newAllCountry!A$2:A$247, NBSAPs!A66, newAllCountry!G$2:G$247)</f>
        <v>279.28069811000006</v>
      </c>
      <c r="E66" s="22">
        <v>36</v>
      </c>
      <c r="G66" s="182"/>
    </row>
    <row r="67" spans="1:7" ht="38.25" x14ac:dyDescent="0.25">
      <c r="A67" s="19" t="s">
        <v>141</v>
      </c>
      <c r="B67" s="125" t="s">
        <v>361</v>
      </c>
      <c r="C67" s="20">
        <v>0.5</v>
      </c>
      <c r="D67" s="21">
        <f>SUMIF(newAllCountry!A$2:A$247, NBSAPs!A67, newAllCountry!G$2:G$247)</f>
        <v>38.492287500000003</v>
      </c>
      <c r="E67" s="22">
        <v>63</v>
      </c>
      <c r="G67" s="182"/>
    </row>
    <row r="68" spans="1:7" ht="25.5" x14ac:dyDescent="0.25">
      <c r="A68" s="19" t="s">
        <v>182</v>
      </c>
      <c r="B68" s="125" t="s">
        <v>360</v>
      </c>
      <c r="C68" s="20">
        <v>0.1</v>
      </c>
      <c r="D68" s="21">
        <f>SUMIF(newAllCountry!A$2:A$247, NBSAPs!A68, newAllCountry!G$2:G$247)</f>
        <v>0</v>
      </c>
      <c r="E68" s="22" t="s">
        <v>322</v>
      </c>
      <c r="G68" s="182"/>
    </row>
    <row r="69" spans="1:7" ht="25.5" x14ac:dyDescent="0.25">
      <c r="A69" s="19" t="s">
        <v>88</v>
      </c>
      <c r="B69" s="125" t="s">
        <v>359</v>
      </c>
      <c r="C69" s="20">
        <v>0.17</v>
      </c>
      <c r="D69" s="130" t="s">
        <v>320</v>
      </c>
      <c r="E69" s="22" t="s">
        <v>321</v>
      </c>
      <c r="G69" s="182"/>
    </row>
    <row r="70" spans="1:7" ht="25.5" x14ac:dyDescent="0.25">
      <c r="A70" s="19" t="s">
        <v>4</v>
      </c>
      <c r="B70" s="184" t="s">
        <v>491</v>
      </c>
      <c r="C70" s="20">
        <v>0.13200000000000001</v>
      </c>
      <c r="D70" s="21">
        <f>SUMIF(newAllCountry!A$2:A$247, NBSAPs!A70, newAllCountry!G$2:G$247)</f>
        <v>62120.464164000019</v>
      </c>
      <c r="E70" s="22" t="s">
        <v>319</v>
      </c>
      <c r="G70" s="182"/>
    </row>
    <row r="71" spans="1:7" ht="25.5" x14ac:dyDescent="0.25">
      <c r="A71" s="19" t="s">
        <v>11</v>
      </c>
      <c r="B71" s="125" t="s">
        <v>358</v>
      </c>
      <c r="C71" s="20">
        <v>0.17</v>
      </c>
      <c r="D71" s="21">
        <f>SUMIF(newAllCountry!A$2:A$247, NBSAPs!A71, newAllCountry!G$2:G$247)</f>
        <v>265835.27821000002</v>
      </c>
      <c r="E71" s="22" t="s">
        <v>269</v>
      </c>
      <c r="G71" s="182"/>
    </row>
    <row r="72" spans="1:7" ht="38.25" x14ac:dyDescent="0.25">
      <c r="A72" s="19" t="s">
        <v>238</v>
      </c>
      <c r="B72" s="125" t="s">
        <v>356</v>
      </c>
      <c r="C72" s="20">
        <v>0.2</v>
      </c>
      <c r="D72" s="21">
        <f>SUMIF(newAllCountry!A$2:A$247, NBSAPs!A72, newAllCountry!G$2:G$247)</f>
        <v>22999.66522000001</v>
      </c>
      <c r="E72" s="22">
        <v>8</v>
      </c>
      <c r="G72" s="182"/>
    </row>
    <row r="73" spans="1:7" ht="30" x14ac:dyDescent="0.25">
      <c r="A73" s="222" t="s">
        <v>511</v>
      </c>
      <c r="B73" s="125" t="s">
        <v>495</v>
      </c>
      <c r="C73" s="20">
        <v>0.12</v>
      </c>
      <c r="D73" s="21">
        <f>SUMIF(newAllCountry!A$2:A$247, NBSAPs!A73, newAllCountry!G$2:G$247)</f>
        <v>0</v>
      </c>
      <c r="E73" s="22" t="s">
        <v>447</v>
      </c>
      <c r="G73" s="182"/>
    </row>
    <row r="74" spans="1:7" ht="30" x14ac:dyDescent="0.25">
      <c r="A74" s="222" t="s">
        <v>132</v>
      </c>
      <c r="B74" s="126" t="s">
        <v>446</v>
      </c>
      <c r="C74" s="20">
        <v>0.17</v>
      </c>
      <c r="D74" s="21">
        <f>SUMIF(newAllCountry!A$2:A$247, NBSAPs!A74, newAllCountry!G$2:G$247)</f>
        <v>0</v>
      </c>
      <c r="E74" s="22" t="s">
        <v>322</v>
      </c>
      <c r="G74" s="182"/>
    </row>
    <row r="75" spans="1:7" x14ac:dyDescent="0.25">
      <c r="A75" s="222" t="s">
        <v>185</v>
      </c>
      <c r="B75" s="126" t="s">
        <v>453</v>
      </c>
      <c r="C75" s="132" t="s">
        <v>450</v>
      </c>
      <c r="D75" s="135" t="s">
        <v>284</v>
      </c>
      <c r="E75" s="40">
        <v>8</v>
      </c>
      <c r="G75" s="182"/>
    </row>
    <row r="76" spans="1:7" ht="25.5" x14ac:dyDescent="0.25">
      <c r="A76" s="19" t="s">
        <v>106</v>
      </c>
      <c r="B76" s="125" t="s">
        <v>349</v>
      </c>
      <c r="C76" s="20">
        <v>0.17</v>
      </c>
      <c r="D76" s="21">
        <f>SUMIF(newAllCountry!A$2:A$247, NBSAPs!A76, newAllCountry!G$2:G$247)</f>
        <v>1319.9550950000048</v>
      </c>
      <c r="E76" s="22" t="s">
        <v>316</v>
      </c>
      <c r="G76" s="182"/>
    </row>
    <row r="77" spans="1:7" ht="30" x14ac:dyDescent="0.25">
      <c r="A77" s="19" t="s">
        <v>240</v>
      </c>
      <c r="B77" s="125" t="s">
        <v>459</v>
      </c>
      <c r="C77" s="20">
        <v>0.12</v>
      </c>
      <c r="D77" s="130" t="s">
        <v>317</v>
      </c>
      <c r="E77" s="31">
        <v>43</v>
      </c>
      <c r="G77" s="182"/>
    </row>
    <row r="78" spans="1:7" ht="25.5" x14ac:dyDescent="0.25">
      <c r="A78" s="19" t="s">
        <v>21</v>
      </c>
      <c r="B78" s="125" t="s">
        <v>348</v>
      </c>
      <c r="C78" s="20">
        <v>0.15</v>
      </c>
      <c r="D78" s="21">
        <f>SUMIF(newAllCountry!A$2:A$247, NBSAPs!A78, newAllCountry!G$2:G$247)</f>
        <v>0</v>
      </c>
      <c r="E78" s="22">
        <v>38</v>
      </c>
      <c r="G78" s="185"/>
    </row>
    <row r="79" spans="1:7" ht="25.5" x14ac:dyDescent="0.25">
      <c r="A79" s="222" t="s">
        <v>183</v>
      </c>
      <c r="B79" s="126" t="s">
        <v>493</v>
      </c>
      <c r="C79" s="20">
        <v>0.17</v>
      </c>
      <c r="D79" s="130" t="s">
        <v>284</v>
      </c>
      <c r="E79" s="22">
        <v>31</v>
      </c>
      <c r="G79" s="182"/>
    </row>
    <row r="80" spans="1:7" ht="51" x14ac:dyDescent="0.25">
      <c r="A80" s="19" t="s">
        <v>48</v>
      </c>
      <c r="B80" s="125" t="s">
        <v>347</v>
      </c>
      <c r="C80" s="20">
        <v>0.09</v>
      </c>
      <c r="D80" s="21">
        <f>SUMIF(newAllCountry!A$2:A$247, NBSAPs!A80, newAllCountry!G$2:G$247)</f>
        <v>289.2333899999976</v>
      </c>
      <c r="E80" s="25" t="s">
        <v>315</v>
      </c>
      <c r="G80" s="182"/>
    </row>
    <row r="81" spans="1:7" ht="25.5" x14ac:dyDescent="0.25">
      <c r="A81" s="19" t="s">
        <v>96</v>
      </c>
      <c r="B81" s="127" t="s">
        <v>494</v>
      </c>
      <c r="C81" s="20">
        <v>0.05</v>
      </c>
      <c r="D81" s="21">
        <f>SUMIF(newAllCountry!A$2:A$247, NBSAPs!A81, newAllCountry!G$2:G$247)</f>
        <v>19277.355950000001</v>
      </c>
      <c r="E81" s="25" t="s">
        <v>445</v>
      </c>
      <c r="G81" s="182"/>
    </row>
    <row r="82" spans="1:7" ht="25.5" x14ac:dyDescent="0.25">
      <c r="A82" s="19" t="s">
        <v>19</v>
      </c>
      <c r="B82" s="125" t="s">
        <v>346</v>
      </c>
      <c r="C82" s="20">
        <v>0.28000000000000003</v>
      </c>
      <c r="D82" s="21">
        <f>SUMIF(newAllCountry!A$2:A$247, NBSAPs!A82, newAllCountry!G$2:G$247)</f>
        <v>3083.3260840000148</v>
      </c>
      <c r="E82" s="25" t="s">
        <v>314</v>
      </c>
      <c r="G82" s="182"/>
    </row>
    <row r="83" spans="1:7" ht="15.75" thickBot="1" x14ac:dyDescent="0.3">
      <c r="C83" s="186"/>
      <c r="D83" s="186"/>
      <c r="E83" s="187"/>
      <c r="G83" s="180"/>
    </row>
    <row r="84" spans="1:7" ht="15.75" thickBot="1" x14ac:dyDescent="0.3">
      <c r="A84" s="19"/>
      <c r="B84" s="125"/>
      <c r="C84" s="69" t="s">
        <v>251</v>
      </c>
      <c r="D84" s="188">
        <f>SUM(D2:D82)</f>
        <v>3464818.5931168506</v>
      </c>
      <c r="E84" s="25"/>
    </row>
    <row r="87" spans="1:7" x14ac:dyDescent="0.25">
      <c r="A87" s="145" t="s">
        <v>467</v>
      </c>
      <c r="C87" s="189"/>
      <c r="D87" s="189"/>
    </row>
    <row r="88" spans="1:7" x14ac:dyDescent="0.25">
      <c r="A88" s="145" t="s">
        <v>468</v>
      </c>
      <c r="C88" s="189"/>
      <c r="D88" s="130"/>
      <c r="G88" s="12"/>
    </row>
    <row r="89" spans="1:7" x14ac:dyDescent="0.25">
      <c r="A89" s="145" t="s">
        <v>463</v>
      </c>
      <c r="B89" s="190"/>
      <c r="C89" s="189"/>
      <c r="D89" s="189"/>
      <c r="G89" s="12"/>
    </row>
    <row r="90" spans="1:7" x14ac:dyDescent="0.25">
      <c r="A90" s="145" t="s">
        <v>464</v>
      </c>
    </row>
    <row r="91" spans="1:7" x14ac:dyDescent="0.25">
      <c r="A91" s="145" t="s">
        <v>458</v>
      </c>
    </row>
  </sheetData>
  <autoFilter ref="A1:E82"/>
  <conditionalFormatting sqref="A6 A78 A35:A36 B45:B46 B40:B43 A80:A83 B68:B71 A28:B28 A29:A33 A17:A27 A76 B75:C75 A38:A43 A45:A74 A44:C44 E44">
    <cfRule type="notContainsBlanks" dxfId="33" priority="58">
      <formula>LEN(TRIM(A6))&gt;0</formula>
    </cfRule>
  </conditionalFormatting>
  <conditionalFormatting sqref="A7:A11 A13:A15">
    <cfRule type="notContainsBlanks" dxfId="32" priority="57">
      <formula>LEN(TRIM(A7))&gt;0</formula>
    </cfRule>
  </conditionalFormatting>
  <conditionalFormatting sqref="E31 E45 E47 B47:C47 B48:B55">
    <cfRule type="notContainsBlanks" dxfId="31" priority="55">
      <formula>LEN(TRIM(B31))&gt;0</formula>
    </cfRule>
  </conditionalFormatting>
  <conditionalFormatting sqref="B72:C74 B76">
    <cfRule type="notContainsBlanks" dxfId="30" priority="53">
      <formula>LEN(TRIM(B72))&gt;0</formula>
    </cfRule>
  </conditionalFormatting>
  <conditionalFormatting sqref="E78">
    <cfRule type="notContainsBlanks" dxfId="29" priority="51">
      <formula>LEN(TRIM(E78))&gt;0</formula>
    </cfRule>
  </conditionalFormatting>
  <conditionalFormatting sqref="E80:E81">
    <cfRule type="notContainsBlanks" dxfId="28" priority="49">
      <formula>LEN(TRIM(E80))&gt;0</formula>
    </cfRule>
  </conditionalFormatting>
  <conditionalFormatting sqref="E32">
    <cfRule type="notContainsBlanks" dxfId="27" priority="48">
      <formula>LEN(TRIM(E32))&gt;0</formula>
    </cfRule>
  </conditionalFormatting>
  <conditionalFormatting sqref="E33">
    <cfRule type="notContainsBlanks" dxfId="26" priority="45">
      <formula>LEN(TRIM(E33))&gt;0</formula>
    </cfRule>
  </conditionalFormatting>
  <conditionalFormatting sqref="E35">
    <cfRule type="notContainsBlanks" dxfId="25" priority="44">
      <formula>LEN(TRIM(E35))&gt;0</formula>
    </cfRule>
  </conditionalFormatting>
  <conditionalFormatting sqref="E36">
    <cfRule type="notContainsBlanks" dxfId="24" priority="43">
      <formula>LEN(TRIM(E36))&gt;0</formula>
    </cfRule>
  </conditionalFormatting>
  <conditionalFormatting sqref="E38">
    <cfRule type="notContainsBlanks" dxfId="23" priority="42">
      <formula>LEN(TRIM(E38))&gt;0</formula>
    </cfRule>
  </conditionalFormatting>
  <conditionalFormatting sqref="E39">
    <cfRule type="notContainsBlanks" dxfId="22" priority="41">
      <formula>LEN(TRIM(E39))&gt;0</formula>
    </cfRule>
  </conditionalFormatting>
  <conditionalFormatting sqref="E40 C40">
    <cfRule type="notContainsBlanks" dxfId="21" priority="40">
      <formula>LEN(TRIM(C40))&gt;0</formula>
    </cfRule>
  </conditionalFormatting>
  <conditionalFormatting sqref="E41">
    <cfRule type="notContainsBlanks" dxfId="20" priority="39">
      <formula>LEN(TRIM(E41))&gt;0</formula>
    </cfRule>
  </conditionalFormatting>
  <conditionalFormatting sqref="E42:E43 C42:C43">
    <cfRule type="notContainsBlanks" dxfId="19" priority="38">
      <formula>LEN(TRIM(C42))&gt;0</formula>
    </cfRule>
  </conditionalFormatting>
  <conditionalFormatting sqref="E46 C46">
    <cfRule type="notContainsBlanks" dxfId="18" priority="36">
      <formula>LEN(TRIM(C46))&gt;0</formula>
    </cfRule>
  </conditionalFormatting>
  <conditionalFormatting sqref="E48 C48">
    <cfRule type="notContainsBlanks" dxfId="17" priority="35">
      <formula>LEN(TRIM(C48))&gt;0</formula>
    </cfRule>
  </conditionalFormatting>
  <conditionalFormatting sqref="E49">
    <cfRule type="notContainsBlanks" dxfId="16" priority="34">
      <formula>LEN(TRIM(E49))&gt;0</formula>
    </cfRule>
  </conditionalFormatting>
  <conditionalFormatting sqref="C50">
    <cfRule type="notContainsBlanks" dxfId="15" priority="30">
      <formula>LEN(TRIM(C50))&gt;0</formula>
    </cfRule>
  </conditionalFormatting>
  <conditionalFormatting sqref="C49">
    <cfRule type="notContainsBlanks" dxfId="14" priority="31">
      <formula>LEN(TRIM(C49))&gt;0</formula>
    </cfRule>
  </conditionalFormatting>
  <conditionalFormatting sqref="C52">
    <cfRule type="notContainsBlanks" dxfId="13" priority="27">
      <formula>LEN(TRIM(C52))&gt;0</formula>
    </cfRule>
  </conditionalFormatting>
  <conditionalFormatting sqref="C51">
    <cfRule type="notContainsBlanks" dxfId="12" priority="26">
      <formula>LEN(TRIM(C51))&gt;0</formula>
    </cfRule>
  </conditionalFormatting>
  <conditionalFormatting sqref="E52">
    <cfRule type="notContainsBlanks" dxfId="11" priority="25">
      <formula>LEN(TRIM(E52))&gt;0</formula>
    </cfRule>
  </conditionalFormatting>
  <conditionalFormatting sqref="C54">
    <cfRule type="notContainsBlanks" dxfId="10" priority="22">
      <formula>LEN(TRIM(C54))&gt;0</formula>
    </cfRule>
  </conditionalFormatting>
  <conditionalFormatting sqref="D55">
    <cfRule type="notContainsBlanks" dxfId="9" priority="21">
      <formula>LEN(TRIM(D55))&gt;0</formula>
    </cfRule>
  </conditionalFormatting>
  <conditionalFormatting sqref="C68">
    <cfRule type="notContainsBlanks" dxfId="8" priority="15">
      <formula>LEN(TRIM(C68))&gt;0</formula>
    </cfRule>
  </conditionalFormatting>
  <conditionalFormatting sqref="C70">
    <cfRule type="notContainsBlanks" dxfId="7" priority="14">
      <formula>LEN(TRIM(C70))&gt;0</formula>
    </cfRule>
  </conditionalFormatting>
  <conditionalFormatting sqref="C45">
    <cfRule type="notContainsBlanks" dxfId="6" priority="7">
      <formula>LEN(TRIM(C45))&gt;0</formula>
    </cfRule>
  </conditionalFormatting>
  <conditionalFormatting sqref="B31">
    <cfRule type="notContainsBlanks" dxfId="5" priority="6">
      <formula>LEN(TRIM(B31))&gt;0</formula>
    </cfRule>
  </conditionalFormatting>
  <conditionalFormatting sqref="A34">
    <cfRule type="notContainsBlanks" dxfId="4" priority="5">
      <formula>LEN(TRIM(A34))&gt;0</formula>
    </cfRule>
  </conditionalFormatting>
  <conditionalFormatting sqref="E34">
    <cfRule type="notContainsBlanks" dxfId="3" priority="4">
      <formula>LEN(TRIM(E34))&gt;0</formula>
    </cfRule>
  </conditionalFormatting>
  <conditionalFormatting sqref="A37">
    <cfRule type="notContainsBlanks" dxfId="2" priority="3">
      <formula>LEN(TRIM(A37))&gt;0</formula>
    </cfRule>
  </conditionalFormatting>
  <conditionalFormatting sqref="E37">
    <cfRule type="notContainsBlanks" dxfId="1" priority="2">
      <formula>LEN(TRIM(E37))&gt;0</formula>
    </cfRule>
  </conditionalFormatting>
  <conditionalFormatting sqref="D79 A79">
    <cfRule type="notContainsBlanks" dxfId="0" priority="1">
      <formula>LEN(TRIM(A79))&gt;0</formula>
    </cfRule>
  </conditionalFormatting>
  <hyperlinks>
    <hyperlink ref="A3" r:id="rId1"/>
    <hyperlink ref="A5" r:id="rId2"/>
    <hyperlink ref="A6" r:id="rId3"/>
    <hyperlink ref="A7" r:id="rId4"/>
    <hyperlink ref="A10" r:id="rId5"/>
    <hyperlink ref="A11" r:id="rId6"/>
    <hyperlink ref="A13" r:id="rId7"/>
    <hyperlink ref="A22" r:id="rId8"/>
    <hyperlink ref="A17" r:id="rId9"/>
    <hyperlink ref="A20" r:id="rId10"/>
    <hyperlink ref="A25" r:id="rId11"/>
    <hyperlink ref="A27" r:id="rId12"/>
    <hyperlink ref="A30" r:id="rId13"/>
    <hyperlink ref="A31" r:id="rId14"/>
    <hyperlink ref="A32" r:id="rId15"/>
    <hyperlink ref="A35" r:id="rId16"/>
    <hyperlink ref="A39" r:id="rId17"/>
    <hyperlink ref="A40" r:id="rId18"/>
    <hyperlink ref="A41" r:id="rId19"/>
    <hyperlink ref="A50" r:id="rId20"/>
    <hyperlink ref="A53" r:id="rId21"/>
    <hyperlink ref="A61" r:id="rId22"/>
    <hyperlink ref="A63" r:id="rId23"/>
    <hyperlink ref="A66" r:id="rId24"/>
    <hyperlink ref="A67" r:id="rId25"/>
    <hyperlink ref="A68" r:id="rId26"/>
    <hyperlink ref="A71" r:id="rId27"/>
    <hyperlink ref="A72" r:id="rId28"/>
    <hyperlink ref="A78" r:id="rId29"/>
    <hyperlink ref="A80" r:id="rId30"/>
    <hyperlink ref="A2" r:id="rId31"/>
    <hyperlink ref="A4" r:id="rId32"/>
    <hyperlink ref="A8" r:id="rId33"/>
    <hyperlink ref="A12" r:id="rId34"/>
    <hyperlink ref="A14" r:id="rId35"/>
    <hyperlink ref="A15" r:id="rId36"/>
    <hyperlink ref="A21" r:id="rId37"/>
    <hyperlink ref="A23" r:id="rId38"/>
    <hyperlink ref="A24" r:id="rId39"/>
    <hyperlink ref="A26" r:id="rId40"/>
    <hyperlink ref="A29" r:id="rId41"/>
    <hyperlink ref="A33" r:id="rId42"/>
    <hyperlink ref="A36" r:id="rId43"/>
    <hyperlink ref="A38" r:id="rId44"/>
    <hyperlink ref="A42" r:id="rId45"/>
    <hyperlink ref="A44" r:id="rId46"/>
    <hyperlink ref="A45" r:id="rId47"/>
    <hyperlink ref="A46" r:id="rId48"/>
    <hyperlink ref="A47" r:id="rId49"/>
    <hyperlink ref="A48" r:id="rId50"/>
    <hyperlink ref="A51" r:id="rId51"/>
    <hyperlink ref="A52" r:id="rId52"/>
    <hyperlink ref="A54" r:id="rId53"/>
    <hyperlink ref="A55" r:id="rId54"/>
    <hyperlink ref="A56" r:id="rId55"/>
    <hyperlink ref="A59" r:id="rId56"/>
    <hyperlink ref="A60" r:id="rId57"/>
    <hyperlink ref="A62" r:id="rId58"/>
    <hyperlink ref="A64" r:id="rId59"/>
    <hyperlink ref="A69" r:id="rId60"/>
    <hyperlink ref="A70" r:id="rId61"/>
    <hyperlink ref="A28" r:id="rId62"/>
    <hyperlink ref="A76" r:id="rId63"/>
    <hyperlink ref="A77" r:id="rId64"/>
    <hyperlink ref="A82" r:id="rId65"/>
    <hyperlink ref="A19" r:id="rId66"/>
    <hyperlink ref="A18" r:id="rId67"/>
    <hyperlink ref="A49" r:id="rId68"/>
    <hyperlink ref="A34" r:id="rId69"/>
    <hyperlink ref="A57" r:id="rId70"/>
    <hyperlink ref="A37" r:id="rId71"/>
    <hyperlink ref="A81" r:id="rId72"/>
    <hyperlink ref="A79" r:id="rId73"/>
    <hyperlink ref="A74" r:id="rId74"/>
    <hyperlink ref="A73" r:id="rId75" display="The former Yugoslav Republic of Macedonia"/>
    <hyperlink ref="A65" r:id="rId76"/>
    <hyperlink ref="A58" r:id="rId77"/>
    <hyperlink ref="A16" r:id="rId78"/>
    <hyperlink ref="A75" r:id="rId79"/>
    <hyperlink ref="A43" r:id="rId80"/>
  </hyperlinks>
  <pageMargins left="0.7" right="0.7" top="0.75" bottom="0.75" header="0.3" footer="0.3"/>
  <pageSetup paperSize="9" orientation="portrait"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9"/>
  <sheetViews>
    <sheetView workbookViewId="0">
      <pane ySplit="1" topLeftCell="A165" activePane="bottomLeft" state="frozen"/>
      <selection pane="bottomLeft" activeCell="I1" sqref="I1:I1048576"/>
    </sheetView>
  </sheetViews>
  <sheetFormatPr defaultRowHeight="15" x14ac:dyDescent="0.25"/>
  <cols>
    <col min="1" max="1" width="49.42578125" style="33" bestFit="1" customWidth="1"/>
    <col min="2" max="2" width="14.85546875" style="210" customWidth="1"/>
    <col min="3" max="3" width="11.5703125" style="210" customWidth="1"/>
    <col min="4" max="4" width="9.85546875" style="216" customWidth="1"/>
    <col min="5" max="5" width="13.85546875" style="163" customWidth="1"/>
    <col min="6" max="6" width="15.85546875" style="199" customWidth="1"/>
    <col min="7" max="7" width="14.28515625" style="199" customWidth="1"/>
    <col min="8" max="8" width="11.5703125" style="5" customWidth="1"/>
    <col min="9" max="9" width="12" style="150" customWidth="1"/>
    <col min="10" max="10" width="13.85546875" style="128" customWidth="1"/>
    <col min="11" max="11" width="16.140625" style="220" customWidth="1"/>
  </cols>
  <sheetData>
    <row r="1" spans="1:11" s="12" customFormat="1" ht="60.75" thickBot="1" x14ac:dyDescent="0.3">
      <c r="A1" s="201" t="s">
        <v>0</v>
      </c>
      <c r="B1" s="206" t="s">
        <v>414</v>
      </c>
      <c r="C1" s="207" t="s">
        <v>415</v>
      </c>
      <c r="D1" s="213" t="s">
        <v>503</v>
      </c>
      <c r="E1" s="203" t="s">
        <v>243</v>
      </c>
      <c r="F1" s="202" t="s">
        <v>498</v>
      </c>
      <c r="G1" s="204" t="s">
        <v>499</v>
      </c>
      <c r="H1" s="211" t="s">
        <v>500</v>
      </c>
      <c r="I1" s="212" t="s">
        <v>501</v>
      </c>
      <c r="J1" s="205" t="s">
        <v>502</v>
      </c>
      <c r="K1" s="217" t="s">
        <v>419</v>
      </c>
    </row>
    <row r="2" spans="1:11" x14ac:dyDescent="0.25">
      <c r="A2" s="153" t="s">
        <v>235</v>
      </c>
      <c r="B2" s="152">
        <v>642899.13419999997</v>
      </c>
      <c r="C2" s="116">
        <v>673.16</v>
      </c>
      <c r="D2" s="214">
        <v>1.0470693833452669E-3</v>
      </c>
      <c r="E2" s="140">
        <v>0.1</v>
      </c>
      <c r="F2" s="149">
        <f>IF(E2&gt;D2, E2*B2-C2, 0)</f>
        <v>63616.753419999994</v>
      </c>
      <c r="G2" s="142">
        <f>IF(F2&gt;(H2+I2), F2-H2-I2, 0)</f>
        <v>51334.823419999993</v>
      </c>
      <c r="H2" s="117"/>
      <c r="I2" s="139">
        <v>12281.93</v>
      </c>
      <c r="J2" s="147">
        <f>G2+H2+I2</f>
        <v>63616.753419999994</v>
      </c>
      <c r="K2" s="218">
        <f t="shared" ref="K2:K65" si="0">(J2+C2)/B2</f>
        <v>0.1</v>
      </c>
    </row>
    <row r="3" spans="1:11" x14ac:dyDescent="0.25">
      <c r="A3" s="153" t="s">
        <v>416</v>
      </c>
      <c r="B3" s="151">
        <v>1580</v>
      </c>
      <c r="C3" s="116">
        <v>41.04</v>
      </c>
      <c r="D3" s="214">
        <v>2.5974683544303798E-2</v>
      </c>
      <c r="E3" s="141"/>
      <c r="F3" s="149"/>
      <c r="G3" s="142"/>
      <c r="H3" s="117"/>
      <c r="I3" s="235"/>
      <c r="J3" s="147">
        <f>G3+H3+I3</f>
        <v>0</v>
      </c>
      <c r="K3" s="218">
        <f t="shared" si="0"/>
        <v>2.5974683544303798E-2</v>
      </c>
    </row>
    <row r="4" spans="1:11" x14ac:dyDescent="0.25">
      <c r="A4" s="153" t="s">
        <v>220</v>
      </c>
      <c r="B4" s="152">
        <v>28746.5563</v>
      </c>
      <c r="C4" s="116">
        <v>5098.5200000000004</v>
      </c>
      <c r="D4" s="214">
        <v>0.17736107055021405</v>
      </c>
      <c r="E4" s="140">
        <v>0.17</v>
      </c>
      <c r="F4" s="149">
        <f>IF(E4&gt;D4, E4*B4-C4, 0)</f>
        <v>0</v>
      </c>
      <c r="G4" s="142">
        <f>IF(F4&gt;(H4+I4), F4-H4-I4, 0)</f>
        <v>0</v>
      </c>
      <c r="H4" s="117"/>
      <c r="I4" s="235"/>
      <c r="J4" s="147">
        <f>G4+H4+I4</f>
        <v>0</v>
      </c>
      <c r="K4" s="218">
        <f t="shared" si="0"/>
        <v>0.17736107055021405</v>
      </c>
    </row>
    <row r="5" spans="1:11" x14ac:dyDescent="0.25">
      <c r="A5" s="153" t="s">
        <v>90</v>
      </c>
      <c r="B5" s="152">
        <v>2324458.588</v>
      </c>
      <c r="C5" s="116">
        <v>174219</v>
      </c>
      <c r="D5" s="214">
        <v>7.4950356568795964E-2</v>
      </c>
      <c r="E5" s="140">
        <v>0.2</v>
      </c>
      <c r="F5" s="192" t="s">
        <v>284</v>
      </c>
      <c r="G5" s="142"/>
      <c r="H5" s="117"/>
      <c r="I5" s="235"/>
      <c r="J5" s="147">
        <f t="shared" ref="J5:J67" si="1">G5+H5+I5</f>
        <v>0</v>
      </c>
      <c r="K5" s="218">
        <f t="shared" si="0"/>
        <v>7.4950356568795964E-2</v>
      </c>
    </row>
    <row r="6" spans="1:11" x14ac:dyDescent="0.25">
      <c r="A6" s="153" t="s">
        <v>72</v>
      </c>
      <c r="B6" s="152">
        <v>210.578755</v>
      </c>
      <c r="C6" s="116">
        <v>33.369999999999997</v>
      </c>
      <c r="D6" s="214">
        <v>0.15846802779321209</v>
      </c>
      <c r="E6" s="193"/>
      <c r="F6" s="194"/>
      <c r="G6" s="142"/>
      <c r="H6" s="117"/>
      <c r="I6" s="235"/>
      <c r="J6" s="147">
        <f t="shared" si="1"/>
        <v>0</v>
      </c>
      <c r="K6" s="218">
        <f t="shared" si="0"/>
        <v>0.15846802779321209</v>
      </c>
    </row>
    <row r="7" spans="1:11" x14ac:dyDescent="0.25">
      <c r="A7" s="153" t="s">
        <v>103</v>
      </c>
      <c r="B7" s="152">
        <v>471.870724</v>
      </c>
      <c r="C7" s="116">
        <v>126.12</v>
      </c>
      <c r="D7" s="214">
        <v>0.267276594171585</v>
      </c>
      <c r="E7" s="141"/>
      <c r="F7" s="149"/>
      <c r="G7" s="142"/>
      <c r="H7" s="117"/>
      <c r="I7" s="235"/>
      <c r="J7" s="147">
        <f t="shared" si="1"/>
        <v>0</v>
      </c>
      <c r="K7" s="218">
        <f t="shared" si="0"/>
        <v>0.267276594171585</v>
      </c>
    </row>
    <row r="8" spans="1:11" x14ac:dyDescent="0.25">
      <c r="A8" s="153" t="s">
        <v>95</v>
      </c>
      <c r="B8" s="152">
        <v>1255217.852</v>
      </c>
      <c r="C8" s="116">
        <v>87506.59</v>
      </c>
      <c r="D8" s="214">
        <v>6.9714265026243422E-2</v>
      </c>
      <c r="E8" s="193"/>
      <c r="F8" s="194"/>
      <c r="G8" s="142"/>
      <c r="H8" s="117"/>
      <c r="I8" s="139">
        <v>9050</v>
      </c>
      <c r="J8" s="147">
        <f t="shared" si="1"/>
        <v>9050</v>
      </c>
      <c r="K8" s="218">
        <f t="shared" si="0"/>
        <v>7.6924168857343503E-2</v>
      </c>
    </row>
    <row r="9" spans="1:11" x14ac:dyDescent="0.25">
      <c r="A9" s="153" t="s">
        <v>125</v>
      </c>
      <c r="B9" s="152">
        <v>85.524417</v>
      </c>
      <c r="C9" s="116">
        <v>5.65</v>
      </c>
      <c r="D9" s="214">
        <v>6.6063005141560924E-2</v>
      </c>
      <c r="E9" s="193"/>
      <c r="F9" s="194"/>
      <c r="G9" s="142"/>
      <c r="H9" s="117"/>
      <c r="I9" s="235"/>
      <c r="J9" s="147">
        <f t="shared" si="1"/>
        <v>0</v>
      </c>
      <c r="K9" s="218">
        <f t="shared" si="0"/>
        <v>6.6063005141560924E-2</v>
      </c>
    </row>
    <row r="10" spans="1:11" x14ac:dyDescent="0.25">
      <c r="A10" s="153" t="s">
        <v>206</v>
      </c>
      <c r="B10" s="152">
        <v>455.237976</v>
      </c>
      <c r="C10" s="116">
        <v>84.54</v>
      </c>
      <c r="D10" s="214">
        <v>0.18570506956124416</v>
      </c>
      <c r="E10" s="140">
        <v>0.17</v>
      </c>
      <c r="F10" s="149">
        <f>IF(E10&gt;D10, E10*B10-C10, 0)</f>
        <v>0</v>
      </c>
      <c r="G10" s="142">
        <f>IF(F10&gt;(H10+I10), F10-H10-I10, 0)</f>
        <v>0</v>
      </c>
      <c r="H10" s="117"/>
      <c r="I10" s="139">
        <v>30.35</v>
      </c>
      <c r="J10" s="147">
        <f t="shared" si="1"/>
        <v>30.35</v>
      </c>
      <c r="K10" s="218">
        <f t="shared" si="0"/>
        <v>0.25237349706519213</v>
      </c>
    </row>
    <row r="11" spans="1:11" x14ac:dyDescent="0.25">
      <c r="A11" s="153" t="s">
        <v>13</v>
      </c>
      <c r="B11" s="152">
        <v>2785327.7209999999</v>
      </c>
      <c r="C11" s="116">
        <v>235365</v>
      </c>
      <c r="D11" s="214">
        <v>8.450172603584985E-2</v>
      </c>
      <c r="E11" s="140">
        <v>0.13</v>
      </c>
      <c r="F11" s="149">
        <f>IF(E11&gt;D11, E11*B11-C11, 0)</f>
        <v>126727.60372999997</v>
      </c>
      <c r="G11" s="142">
        <f>IF(F11&gt;(H11+I11), F11-H11-I11, 0)</f>
        <v>0</v>
      </c>
      <c r="H11" s="117">
        <f>0.13*B11-C11</f>
        <v>126727.60372999997</v>
      </c>
      <c r="I11" s="235"/>
      <c r="J11" s="147">
        <f t="shared" si="1"/>
        <v>126727.60372999997</v>
      </c>
      <c r="K11" s="218">
        <f t="shared" si="0"/>
        <v>0.13</v>
      </c>
    </row>
    <row r="12" spans="1:11" x14ac:dyDescent="0.25">
      <c r="A12" s="153" t="s">
        <v>201</v>
      </c>
      <c r="B12" s="152">
        <v>29685.405589999998</v>
      </c>
      <c r="C12" s="116">
        <v>6860.45</v>
      </c>
      <c r="D12" s="214">
        <v>0.2311051462376196</v>
      </c>
      <c r="E12" s="141"/>
      <c r="F12" s="149"/>
      <c r="G12" s="142"/>
      <c r="H12" s="117"/>
      <c r="I12" s="235"/>
      <c r="J12" s="147">
        <f t="shared" si="1"/>
        <v>0</v>
      </c>
      <c r="K12" s="218">
        <f t="shared" si="0"/>
        <v>0.2311051462376196</v>
      </c>
    </row>
    <row r="13" spans="1:11" x14ac:dyDescent="0.25">
      <c r="A13" s="153" t="s">
        <v>47</v>
      </c>
      <c r="B13" s="152">
        <v>189.42084399999999</v>
      </c>
      <c r="C13" s="116">
        <v>35.83</v>
      </c>
      <c r="D13" s="214">
        <v>0.18915552926160545</v>
      </c>
      <c r="E13" s="141"/>
      <c r="F13" s="194"/>
      <c r="G13" s="142"/>
      <c r="H13" s="117"/>
      <c r="I13" s="235"/>
      <c r="J13" s="147">
        <f t="shared" si="1"/>
        <v>0</v>
      </c>
      <c r="K13" s="218">
        <f t="shared" si="0"/>
        <v>0.18915552926160545</v>
      </c>
    </row>
    <row r="14" spans="1:11" x14ac:dyDescent="0.25">
      <c r="A14" s="153" t="s">
        <v>231</v>
      </c>
      <c r="B14" s="152">
        <v>7722102.0219999999</v>
      </c>
      <c r="C14" s="116">
        <v>1487679</v>
      </c>
      <c r="D14" s="214">
        <v>0.19265207786191563</v>
      </c>
      <c r="E14" s="193"/>
      <c r="F14" s="194"/>
      <c r="G14" s="142"/>
      <c r="H14" s="117"/>
      <c r="I14" s="235"/>
      <c r="J14" s="147">
        <f t="shared" si="1"/>
        <v>0</v>
      </c>
      <c r="K14" s="218">
        <f t="shared" si="0"/>
        <v>0.19265207786191563</v>
      </c>
    </row>
    <row r="15" spans="1:11" x14ac:dyDescent="0.25">
      <c r="A15" s="153" t="s">
        <v>232</v>
      </c>
      <c r="B15" s="152">
        <v>83912.259120000002</v>
      </c>
      <c r="C15" s="116">
        <v>23829.39</v>
      </c>
      <c r="D15" s="214">
        <v>0.283979840966055</v>
      </c>
      <c r="E15" s="193"/>
      <c r="F15" s="194"/>
      <c r="G15" s="142"/>
      <c r="H15" s="117"/>
      <c r="I15" s="235"/>
      <c r="J15" s="147">
        <f t="shared" si="1"/>
        <v>0</v>
      </c>
      <c r="K15" s="218">
        <f t="shared" si="0"/>
        <v>0.283979840966055</v>
      </c>
    </row>
    <row r="16" spans="1:11" x14ac:dyDescent="0.25">
      <c r="A16" s="153" t="s">
        <v>195</v>
      </c>
      <c r="B16" s="152">
        <v>86639.623340000006</v>
      </c>
      <c r="C16" s="116">
        <v>8798.36</v>
      </c>
      <c r="D16" s="214">
        <v>0.10155122634216199</v>
      </c>
      <c r="E16" s="141" t="s">
        <v>273</v>
      </c>
      <c r="F16" s="149">
        <f>0.12*B16</f>
        <v>10396.754800799999</v>
      </c>
      <c r="G16" s="142">
        <f>IF(F16&gt;(H16+I16), F16-H16-I16, 0)</f>
        <v>10396.754800799999</v>
      </c>
      <c r="H16" s="117"/>
      <c r="I16" s="235"/>
      <c r="J16" s="147">
        <f t="shared" si="1"/>
        <v>10396.754800799999</v>
      </c>
      <c r="K16" s="218">
        <f t="shared" si="0"/>
        <v>0.22155122634216198</v>
      </c>
    </row>
    <row r="17" spans="1:11" x14ac:dyDescent="0.25">
      <c r="A17" s="153" t="s">
        <v>116</v>
      </c>
      <c r="B17" s="152">
        <v>13458.006240000001</v>
      </c>
      <c r="C17" s="116">
        <v>4932</v>
      </c>
      <c r="D17" s="214">
        <v>0.36647330310644882</v>
      </c>
      <c r="E17" s="141"/>
      <c r="F17" s="194"/>
      <c r="G17" s="142"/>
      <c r="H17" s="117"/>
      <c r="I17" s="235"/>
      <c r="J17" s="147">
        <f t="shared" si="1"/>
        <v>0</v>
      </c>
      <c r="K17" s="218">
        <f t="shared" si="0"/>
        <v>0.36647330310644882</v>
      </c>
    </row>
    <row r="18" spans="1:11" x14ac:dyDescent="0.25">
      <c r="A18" s="153" t="s">
        <v>81</v>
      </c>
      <c r="B18" s="152">
        <v>686.85740299999998</v>
      </c>
      <c r="C18" s="116">
        <v>45.48</v>
      </c>
      <c r="D18" s="214">
        <v>6.6214617184522068E-2</v>
      </c>
      <c r="E18" s="141"/>
      <c r="F18" s="149"/>
      <c r="G18" s="142"/>
      <c r="H18" s="117"/>
      <c r="I18" s="235"/>
      <c r="J18" s="147">
        <f t="shared" si="1"/>
        <v>0</v>
      </c>
      <c r="K18" s="218">
        <f t="shared" si="0"/>
        <v>6.6214617184522068E-2</v>
      </c>
    </row>
    <row r="19" spans="1:11" x14ac:dyDescent="0.25">
      <c r="A19" s="153" t="s">
        <v>117</v>
      </c>
      <c r="B19" s="152">
        <v>140160.1678</v>
      </c>
      <c r="C19" s="116">
        <v>6455.73</v>
      </c>
      <c r="D19" s="214">
        <v>4.6059662322978465E-2</v>
      </c>
      <c r="E19" s="140">
        <v>0.03</v>
      </c>
      <c r="F19" s="192" t="s">
        <v>317</v>
      </c>
      <c r="G19" s="142"/>
      <c r="H19" s="117">
        <v>5210</v>
      </c>
      <c r="I19" s="139">
        <v>1020</v>
      </c>
      <c r="J19" s="147">
        <f t="shared" si="1"/>
        <v>6230</v>
      </c>
      <c r="K19" s="218">
        <f t="shared" si="0"/>
        <v>9.0508810021558778E-2</v>
      </c>
    </row>
    <row r="20" spans="1:11" x14ac:dyDescent="0.25">
      <c r="A20" s="153" t="s">
        <v>102</v>
      </c>
      <c r="B20" s="152">
        <v>444.06851899999998</v>
      </c>
      <c r="C20" s="116">
        <v>5.64</v>
      </c>
      <c r="D20" s="214">
        <v>1.2700742697772728E-2</v>
      </c>
      <c r="E20" s="141"/>
      <c r="F20" s="149"/>
      <c r="G20" s="142"/>
      <c r="H20" s="117"/>
      <c r="I20" s="235"/>
      <c r="J20" s="147">
        <f t="shared" si="1"/>
        <v>0</v>
      </c>
      <c r="K20" s="218">
        <f t="shared" si="0"/>
        <v>1.2700742697772728E-2</v>
      </c>
    </row>
    <row r="21" spans="1:11" x14ac:dyDescent="0.25">
      <c r="A21" s="153" t="s">
        <v>23</v>
      </c>
      <c r="B21" s="152">
        <v>207228.06539999999</v>
      </c>
      <c r="C21" s="116">
        <v>19383.060000000001</v>
      </c>
      <c r="D21" s="214">
        <v>9.3534917495784339E-2</v>
      </c>
      <c r="E21" s="140">
        <v>0.22</v>
      </c>
      <c r="F21" s="149">
        <f>IF(E21&gt;D21, E21*B21-C21, 0)</f>
        <v>26207.114387999998</v>
      </c>
      <c r="G21" s="142">
        <f>IF(F21&gt;(H21+I21), F21-H21-I21, 0)</f>
        <v>26007.114387999998</v>
      </c>
      <c r="H21" s="117"/>
      <c r="I21" s="230">
        <v>200</v>
      </c>
      <c r="J21" s="147">
        <f t="shared" si="1"/>
        <v>26207.114387999998</v>
      </c>
      <c r="K21" s="218">
        <f t="shared" si="0"/>
        <v>0.22</v>
      </c>
    </row>
    <row r="22" spans="1:11" x14ac:dyDescent="0.25">
      <c r="A22" s="153" t="s">
        <v>56</v>
      </c>
      <c r="B22" s="152">
        <v>30683.07213</v>
      </c>
      <c r="C22" s="116">
        <v>7634</v>
      </c>
      <c r="D22" s="214">
        <v>0.24880168347080048</v>
      </c>
      <c r="E22" s="140">
        <v>0.17</v>
      </c>
      <c r="F22" s="149">
        <f>IF(E22&gt;D22, E22*B22-C22, 0)</f>
        <v>0</v>
      </c>
      <c r="G22" s="142">
        <f>IF(F22&gt;(H22+I22), F22-H22-I22, 0)</f>
        <v>0</v>
      </c>
      <c r="H22" s="117"/>
      <c r="I22" s="235"/>
      <c r="J22" s="147">
        <f t="shared" si="1"/>
        <v>0</v>
      </c>
      <c r="K22" s="218">
        <f t="shared" si="0"/>
        <v>0.24880168347080048</v>
      </c>
    </row>
    <row r="23" spans="1:11" x14ac:dyDescent="0.25">
      <c r="A23" s="153" t="s">
        <v>44</v>
      </c>
      <c r="B23" s="152">
        <v>22297.766179999999</v>
      </c>
      <c r="C23" s="116">
        <v>8401.66</v>
      </c>
      <c r="D23" s="214">
        <v>0.37679379773637939</v>
      </c>
      <c r="E23" s="141"/>
      <c r="F23" s="149"/>
      <c r="G23" s="142"/>
      <c r="H23" s="117"/>
      <c r="I23" s="235"/>
      <c r="J23" s="147">
        <f t="shared" si="1"/>
        <v>0</v>
      </c>
      <c r="K23" s="218">
        <f t="shared" si="0"/>
        <v>0.37679379773637939</v>
      </c>
    </row>
    <row r="24" spans="1:11" x14ac:dyDescent="0.25">
      <c r="A24" s="153" t="s">
        <v>120</v>
      </c>
      <c r="B24" s="152">
        <v>116095.36320000001</v>
      </c>
      <c r="C24" s="116">
        <v>34369</v>
      </c>
      <c r="D24" s="214">
        <v>0.29604110838424941</v>
      </c>
      <c r="E24" s="140">
        <v>0.1</v>
      </c>
      <c r="F24" s="149">
        <f>IF(E24&gt;D24, E24*B24-C24, 0)</f>
        <v>0</v>
      </c>
      <c r="G24" s="142">
        <f>IF(F24&gt;(H24+I24), F24-H24-I24, 0)</f>
        <v>0</v>
      </c>
      <c r="H24" s="117"/>
      <c r="I24" s="139">
        <v>80</v>
      </c>
      <c r="J24" s="147">
        <f t="shared" si="1"/>
        <v>80</v>
      </c>
      <c r="K24" s="218">
        <f t="shared" si="0"/>
        <v>0.29673019705923964</v>
      </c>
    </row>
    <row r="25" spans="1:11" x14ac:dyDescent="0.25">
      <c r="A25" s="153" t="s">
        <v>178</v>
      </c>
      <c r="B25" s="152">
        <v>72.478421999999995</v>
      </c>
      <c r="C25" s="116">
        <v>1.51</v>
      </c>
      <c r="D25" s="214">
        <v>2.0833786916608091E-2</v>
      </c>
      <c r="E25" s="141"/>
      <c r="F25" s="149"/>
      <c r="G25" s="142"/>
      <c r="H25" s="117"/>
      <c r="I25" s="235"/>
      <c r="J25" s="147">
        <f t="shared" si="1"/>
        <v>0</v>
      </c>
      <c r="K25" s="218">
        <f t="shared" si="0"/>
        <v>2.0833786916608091E-2</v>
      </c>
    </row>
    <row r="26" spans="1:11" x14ac:dyDescent="0.25">
      <c r="A26" s="153" t="s">
        <v>62</v>
      </c>
      <c r="B26" s="152">
        <v>39933.488140000001</v>
      </c>
      <c r="C26" s="116">
        <v>19171.21</v>
      </c>
      <c r="D26" s="214">
        <v>0.48007852288758263</v>
      </c>
      <c r="E26" s="141"/>
      <c r="F26" s="149"/>
      <c r="G26" s="142"/>
      <c r="H26" s="117"/>
      <c r="I26" s="235"/>
      <c r="J26" s="147">
        <f t="shared" si="1"/>
        <v>0</v>
      </c>
      <c r="K26" s="218">
        <f t="shared" si="0"/>
        <v>0.48007852288758263</v>
      </c>
    </row>
    <row r="27" spans="1:11" x14ac:dyDescent="0.25">
      <c r="A27" s="153" t="s">
        <v>115</v>
      </c>
      <c r="B27" s="152">
        <v>1089908.94</v>
      </c>
      <c r="C27" s="116">
        <v>336407</v>
      </c>
      <c r="D27" s="214">
        <v>0.30865606075311208</v>
      </c>
      <c r="E27" s="193"/>
      <c r="F27" s="194"/>
      <c r="G27" s="142"/>
      <c r="H27" s="117"/>
      <c r="I27" s="235"/>
      <c r="J27" s="147">
        <f t="shared" si="1"/>
        <v>0</v>
      </c>
      <c r="K27" s="218">
        <f t="shared" si="0"/>
        <v>0.30865606075311208</v>
      </c>
    </row>
    <row r="28" spans="1:11" x14ac:dyDescent="0.25">
      <c r="A28" s="153" t="s">
        <v>218</v>
      </c>
      <c r="B28" s="152">
        <v>322.85249599999997</v>
      </c>
      <c r="C28" s="116">
        <v>91.58</v>
      </c>
      <c r="D28" s="214">
        <v>0.28365894993731133</v>
      </c>
      <c r="E28" s="193"/>
      <c r="F28" s="194"/>
      <c r="G28" s="142"/>
      <c r="H28" s="117"/>
      <c r="I28" s="235"/>
      <c r="J28" s="147">
        <f t="shared" si="1"/>
        <v>0</v>
      </c>
      <c r="K28" s="218">
        <f t="shared" si="0"/>
        <v>0.28365894993731133</v>
      </c>
    </row>
    <row r="29" spans="1:11" x14ac:dyDescent="0.25">
      <c r="A29" s="153" t="s">
        <v>226</v>
      </c>
      <c r="B29" s="152">
        <v>51225.151279999998</v>
      </c>
      <c r="C29" s="116">
        <v>714.85</v>
      </c>
      <c r="D29" s="214">
        <v>1.3955058836089787E-2</v>
      </c>
      <c r="E29" s="141"/>
      <c r="F29" s="149"/>
      <c r="G29" s="142"/>
      <c r="H29" s="117"/>
      <c r="I29" s="139">
        <v>2541.3200000000002</v>
      </c>
      <c r="J29" s="147">
        <f t="shared" si="1"/>
        <v>2541.3200000000002</v>
      </c>
      <c r="K29" s="218">
        <f t="shared" si="0"/>
        <v>6.356584448529129E-2</v>
      </c>
    </row>
    <row r="30" spans="1:11" x14ac:dyDescent="0.25">
      <c r="A30" s="153" t="s">
        <v>110</v>
      </c>
      <c r="B30" s="152">
        <v>581162.92150000005</v>
      </c>
      <c r="C30" s="116">
        <v>169362</v>
      </c>
      <c r="D30" s="214">
        <v>0.29141914209335873</v>
      </c>
      <c r="E30" s="140">
        <v>0.25</v>
      </c>
      <c r="F30" s="192" t="s">
        <v>289</v>
      </c>
      <c r="G30" s="142"/>
      <c r="H30" s="117"/>
      <c r="I30" s="235"/>
      <c r="J30" s="147">
        <f t="shared" si="1"/>
        <v>0</v>
      </c>
      <c r="K30" s="218">
        <f t="shared" si="0"/>
        <v>0.29141914209335873</v>
      </c>
    </row>
    <row r="31" spans="1:11" x14ac:dyDescent="0.25">
      <c r="A31" s="153" t="s">
        <v>151</v>
      </c>
      <c r="B31" s="152">
        <v>50.639750999999997</v>
      </c>
      <c r="C31" s="116">
        <v>43.99</v>
      </c>
      <c r="D31" s="214">
        <v>0.86868515605457863</v>
      </c>
      <c r="E31" s="141"/>
      <c r="F31" s="149"/>
      <c r="G31" s="142"/>
      <c r="H31" s="117"/>
      <c r="I31" s="235"/>
      <c r="J31" s="147">
        <f t="shared" si="1"/>
        <v>0</v>
      </c>
      <c r="K31" s="218">
        <f t="shared" si="0"/>
        <v>0.86868515605457863</v>
      </c>
    </row>
    <row r="32" spans="1:11" ht="30" x14ac:dyDescent="0.25">
      <c r="A32" s="153" t="s">
        <v>122</v>
      </c>
      <c r="B32" s="152">
        <v>8529399.2430000007</v>
      </c>
      <c r="C32" s="116">
        <v>2509321</v>
      </c>
      <c r="D32" s="214">
        <v>0.29419668707141089</v>
      </c>
      <c r="E32" s="146" t="s">
        <v>272</v>
      </c>
      <c r="F32" s="149">
        <f>[1]BRA_biomes!$N$8</f>
        <v>334660.31105470005</v>
      </c>
      <c r="G32" s="142">
        <f>F32-10650</f>
        <v>324010.31105470005</v>
      </c>
      <c r="H32" s="152">
        <v>30000</v>
      </c>
      <c r="I32" s="142">
        <v>40650</v>
      </c>
      <c r="J32" s="147">
        <f t="shared" si="1"/>
        <v>394660.31105470005</v>
      </c>
      <c r="K32" s="218">
        <f t="shared" si="0"/>
        <v>0.34046727422660755</v>
      </c>
    </row>
    <row r="33" spans="1:11" x14ac:dyDescent="0.25">
      <c r="A33" s="153" t="s">
        <v>142</v>
      </c>
      <c r="B33" s="152">
        <v>68.952845999999994</v>
      </c>
      <c r="C33" s="116">
        <v>68.95</v>
      </c>
      <c r="D33" s="214">
        <v>0.99995872541649711</v>
      </c>
      <c r="E33" s="193"/>
      <c r="F33" s="194"/>
      <c r="G33" s="142"/>
      <c r="H33" s="117"/>
      <c r="I33" s="235"/>
      <c r="J33" s="147">
        <f t="shared" si="1"/>
        <v>0</v>
      </c>
      <c r="K33" s="218">
        <f t="shared" si="0"/>
        <v>0.99995872541649711</v>
      </c>
    </row>
    <row r="34" spans="1:11" x14ac:dyDescent="0.25">
      <c r="A34" s="153" t="s">
        <v>71</v>
      </c>
      <c r="B34" s="152">
        <v>175.605042</v>
      </c>
      <c r="C34" s="116">
        <v>16</v>
      </c>
      <c r="D34" s="214">
        <v>9.1113556978620239E-2</v>
      </c>
      <c r="E34" s="193"/>
      <c r="F34" s="149"/>
      <c r="G34" s="142"/>
      <c r="H34" s="117"/>
      <c r="I34" s="235"/>
      <c r="J34" s="147">
        <f t="shared" si="1"/>
        <v>0</v>
      </c>
      <c r="K34" s="218">
        <f t="shared" si="0"/>
        <v>9.1113556978620239E-2</v>
      </c>
    </row>
    <row r="35" spans="1:11" x14ac:dyDescent="0.25">
      <c r="A35" s="153" t="s">
        <v>196</v>
      </c>
      <c r="B35" s="152">
        <v>5961.6866620000001</v>
      </c>
      <c r="C35" s="116">
        <v>2794.37</v>
      </c>
      <c r="D35" s="214">
        <v>0.46872138011066772</v>
      </c>
      <c r="E35" s="193"/>
      <c r="F35" s="194"/>
      <c r="G35" s="142"/>
      <c r="H35" s="117"/>
      <c r="I35" s="235"/>
      <c r="J35" s="147">
        <f t="shared" si="1"/>
        <v>0</v>
      </c>
      <c r="K35" s="218">
        <f t="shared" si="0"/>
        <v>0.46872138011066772</v>
      </c>
    </row>
    <row r="36" spans="1:11" x14ac:dyDescent="0.25">
      <c r="A36" s="153" t="s">
        <v>212</v>
      </c>
      <c r="B36" s="152">
        <v>110862.7479</v>
      </c>
      <c r="C36" s="116">
        <v>44996</v>
      </c>
      <c r="D36" s="214">
        <v>0.40587123134082081</v>
      </c>
      <c r="E36" s="141"/>
      <c r="F36" s="149"/>
      <c r="G36" s="142"/>
      <c r="H36" s="117"/>
      <c r="I36" s="235"/>
      <c r="J36" s="147">
        <f t="shared" si="1"/>
        <v>0</v>
      </c>
      <c r="K36" s="218">
        <f t="shared" si="0"/>
        <v>0.40587123134082081</v>
      </c>
    </row>
    <row r="37" spans="1:11" x14ac:dyDescent="0.25">
      <c r="A37" s="153" t="s">
        <v>237</v>
      </c>
      <c r="B37" s="152">
        <v>276403.7182</v>
      </c>
      <c r="C37" s="116">
        <v>41157.730000000003</v>
      </c>
      <c r="D37" s="214">
        <v>0.14890440066446256</v>
      </c>
      <c r="E37" s="193"/>
      <c r="F37" s="194"/>
      <c r="G37" s="142"/>
      <c r="H37" s="117"/>
      <c r="I37" s="235"/>
      <c r="J37" s="147">
        <f t="shared" si="1"/>
        <v>0</v>
      </c>
      <c r="K37" s="218">
        <f t="shared" si="0"/>
        <v>0.14890440066446256</v>
      </c>
    </row>
    <row r="38" spans="1:11" x14ac:dyDescent="0.25">
      <c r="A38" s="153" t="s">
        <v>38</v>
      </c>
      <c r="B38" s="152">
        <v>27210.872429999999</v>
      </c>
      <c r="C38" s="116">
        <v>2065.71</v>
      </c>
      <c r="D38" s="214">
        <v>7.5914875765708781E-2</v>
      </c>
      <c r="E38" s="140">
        <v>0.1</v>
      </c>
      <c r="F38" s="149">
        <f>IF(E38&gt;D38, E38*B38-C38, 0)</f>
        <v>655.37724299999991</v>
      </c>
      <c r="G38" s="142">
        <f>IF(F38&gt;(H38+I38), F38-H38-I38, 0)</f>
        <v>0</v>
      </c>
      <c r="H38" s="152">
        <f>0.15*B38-C38</f>
        <v>2015.9208644999999</v>
      </c>
      <c r="I38" s="235"/>
      <c r="J38" s="147">
        <f t="shared" si="1"/>
        <v>2015.9208644999999</v>
      </c>
      <c r="K38" s="218">
        <f t="shared" si="0"/>
        <v>0.15</v>
      </c>
    </row>
    <row r="39" spans="1:11" x14ac:dyDescent="0.25">
      <c r="A39" s="153" t="s">
        <v>61</v>
      </c>
      <c r="B39" s="152">
        <v>4148.996795</v>
      </c>
      <c r="C39" s="116">
        <v>120.12</v>
      </c>
      <c r="D39" s="214">
        <v>2.8951576955845781E-2</v>
      </c>
      <c r="E39" s="140">
        <v>0.2</v>
      </c>
      <c r="F39" s="192" t="s">
        <v>292</v>
      </c>
      <c r="G39" s="142"/>
      <c r="H39" s="117"/>
      <c r="I39" s="235"/>
      <c r="J39" s="147">
        <f t="shared" si="1"/>
        <v>0</v>
      </c>
      <c r="K39" s="218">
        <f t="shared" si="0"/>
        <v>2.8951576955845781E-2</v>
      </c>
    </row>
    <row r="40" spans="1:11" x14ac:dyDescent="0.25">
      <c r="A40" s="153" t="s">
        <v>160</v>
      </c>
      <c r="B40" s="152">
        <v>182510.85260000001</v>
      </c>
      <c r="C40" s="116">
        <v>47503.41</v>
      </c>
      <c r="D40" s="214">
        <v>0.26027717981303211</v>
      </c>
      <c r="E40" s="141"/>
      <c r="F40" s="149"/>
      <c r="G40" s="142"/>
      <c r="H40" s="117"/>
      <c r="I40" s="235"/>
      <c r="J40" s="147">
        <f t="shared" si="1"/>
        <v>0</v>
      </c>
      <c r="K40" s="218">
        <f t="shared" si="0"/>
        <v>0.26027717981303211</v>
      </c>
    </row>
    <row r="41" spans="1:11" x14ac:dyDescent="0.25">
      <c r="A41" s="153" t="s">
        <v>234</v>
      </c>
      <c r="B41" s="152">
        <v>469428.09149999998</v>
      </c>
      <c r="C41" s="116">
        <v>49761.94</v>
      </c>
      <c r="D41" s="214">
        <v>0.10600545834611605</v>
      </c>
      <c r="E41" s="140">
        <v>0.3</v>
      </c>
      <c r="F41" s="149">
        <f>IF(E41&gt;D41, E41*B41-C41, 0)</f>
        <v>91066.487449999986</v>
      </c>
      <c r="G41" s="142">
        <f>IF(F41&gt;(H41+I41), F41-H41-I41, 0)</f>
        <v>75220.297449999984</v>
      </c>
      <c r="H41" s="117">
        <v>15326.19</v>
      </c>
      <c r="I41" s="139">
        <v>520</v>
      </c>
      <c r="J41" s="147">
        <f t="shared" si="1"/>
        <v>91066.487449999986</v>
      </c>
      <c r="K41" s="218">
        <f t="shared" si="0"/>
        <v>0.3</v>
      </c>
    </row>
    <row r="42" spans="1:11" x14ac:dyDescent="0.25">
      <c r="A42" s="153" t="s">
        <v>3</v>
      </c>
      <c r="B42" s="152">
        <v>9955032.9409999996</v>
      </c>
      <c r="C42" s="116">
        <v>958104</v>
      </c>
      <c r="D42" s="214">
        <v>9.6243177263033428E-2</v>
      </c>
      <c r="E42" s="140">
        <v>0.17</v>
      </c>
      <c r="F42" s="149">
        <f>IF(E42&gt;D42, E42*B42-C42, 0)</f>
        <v>734251.5999700001</v>
      </c>
      <c r="G42" s="142">
        <f>IF(F42&gt;(H42+I42), F42-H42-I42, 0)</f>
        <v>734251.5999700001</v>
      </c>
      <c r="H42" s="117"/>
      <c r="I42" s="235"/>
      <c r="J42" s="147">
        <f t="shared" si="1"/>
        <v>734251.5999700001</v>
      </c>
      <c r="K42" s="218">
        <f t="shared" si="0"/>
        <v>0.17</v>
      </c>
    </row>
    <row r="43" spans="1:11" x14ac:dyDescent="0.25">
      <c r="A43" s="153" t="s">
        <v>173</v>
      </c>
      <c r="B43" s="152">
        <v>289.26686599999999</v>
      </c>
      <c r="C43" s="116">
        <v>31.13</v>
      </c>
      <c r="D43" s="214">
        <v>0.10761688827506431</v>
      </c>
      <c r="E43" s="193"/>
      <c r="F43" s="194"/>
      <c r="G43" s="142"/>
      <c r="H43" s="117"/>
      <c r="I43" s="235"/>
      <c r="J43" s="147">
        <f t="shared" si="1"/>
        <v>0</v>
      </c>
      <c r="K43" s="218">
        <f t="shared" si="0"/>
        <v>0.10761688827506431</v>
      </c>
    </row>
    <row r="44" spans="1:11" x14ac:dyDescent="0.25">
      <c r="A44" s="153" t="s">
        <v>169</v>
      </c>
      <c r="B44" s="152">
        <v>624568.03060000006</v>
      </c>
      <c r="C44" s="116">
        <v>112827.12</v>
      </c>
      <c r="D44" s="214">
        <v>0.18064824722394299</v>
      </c>
      <c r="E44" s="193"/>
      <c r="F44" s="194"/>
      <c r="G44" s="142"/>
      <c r="H44" s="117"/>
      <c r="I44" s="235"/>
      <c r="J44" s="147">
        <f t="shared" si="1"/>
        <v>0</v>
      </c>
      <c r="K44" s="218">
        <f t="shared" si="0"/>
        <v>0.18064824722394299</v>
      </c>
    </row>
    <row r="45" spans="1:11" x14ac:dyDescent="0.25">
      <c r="A45" s="153" t="s">
        <v>5</v>
      </c>
      <c r="B45" s="152">
        <v>1276585.969</v>
      </c>
      <c r="C45" s="116">
        <v>259841.87</v>
      </c>
      <c r="D45" s="214">
        <v>0.20354435683132593</v>
      </c>
      <c r="E45" s="193"/>
      <c r="F45" s="194"/>
      <c r="G45" s="142"/>
      <c r="H45" s="117"/>
      <c r="I45" s="235"/>
      <c r="J45" s="147">
        <f t="shared" si="1"/>
        <v>0</v>
      </c>
      <c r="K45" s="218">
        <f t="shared" si="0"/>
        <v>0.20354435683132593</v>
      </c>
    </row>
    <row r="46" spans="1:11" x14ac:dyDescent="0.25">
      <c r="A46" s="153" t="s">
        <v>24</v>
      </c>
      <c r="B46" s="152">
        <v>759820.96200000006</v>
      </c>
      <c r="C46" s="116">
        <v>140525</v>
      </c>
      <c r="D46" s="214">
        <v>0.18494488442397039</v>
      </c>
      <c r="E46" s="141"/>
      <c r="F46" s="149"/>
      <c r="G46" s="142"/>
      <c r="H46" s="152">
        <f>'Priority Actions'!C7</f>
        <v>283.82999999999993</v>
      </c>
      <c r="I46" s="247"/>
      <c r="J46" s="147">
        <f t="shared" si="1"/>
        <v>283.82999999999993</v>
      </c>
      <c r="K46" s="218">
        <f t="shared" si="0"/>
        <v>0.18531843294947156</v>
      </c>
    </row>
    <row r="47" spans="1:11" x14ac:dyDescent="0.25">
      <c r="A47" s="153" t="s">
        <v>26</v>
      </c>
      <c r="B47" s="152">
        <v>9361608.8809999991</v>
      </c>
      <c r="C47" s="116">
        <v>1461511</v>
      </c>
      <c r="D47" s="214">
        <v>0.15611750272607872</v>
      </c>
      <c r="E47" s="140">
        <v>0.15</v>
      </c>
      <c r="F47" s="149">
        <f>IF(E47&gt;D47, E47*B47-C47, 0)</f>
        <v>0</v>
      </c>
      <c r="G47" s="142">
        <f>IF(F47&gt;(H47+I47), F47-H47-I47, 0)</f>
        <v>0</v>
      </c>
      <c r="H47" s="152"/>
      <c r="I47" s="142">
        <v>51417</v>
      </c>
      <c r="J47" s="147">
        <f t="shared" si="1"/>
        <v>51417</v>
      </c>
      <c r="K47" s="218">
        <f t="shared" si="0"/>
        <v>0.16160982788659189</v>
      </c>
    </row>
    <row r="48" spans="1:11" x14ac:dyDescent="0.25">
      <c r="A48" s="153" t="s">
        <v>124</v>
      </c>
      <c r="B48" s="152">
        <v>1102.4793400000001</v>
      </c>
      <c r="C48" s="116">
        <v>461.76</v>
      </c>
      <c r="D48" s="214">
        <v>0.41883778066988536</v>
      </c>
      <c r="E48" s="193"/>
      <c r="F48" s="194"/>
      <c r="G48" s="142"/>
      <c r="H48" s="117"/>
      <c r="I48" s="235"/>
      <c r="J48" s="147">
        <f t="shared" si="1"/>
        <v>0</v>
      </c>
      <c r="K48" s="218">
        <f t="shared" si="0"/>
        <v>0.41883778066988536</v>
      </c>
    </row>
    <row r="49" spans="1:11" x14ac:dyDescent="0.25">
      <c r="A49" s="153" t="s">
        <v>92</v>
      </c>
      <c r="B49" s="152">
        <v>142.416955</v>
      </c>
      <c r="C49" s="116">
        <v>87.65</v>
      </c>
      <c r="D49" s="214">
        <v>0.61544638417525499</v>
      </c>
      <c r="E49" s="141"/>
      <c r="F49" s="149"/>
      <c r="G49" s="142"/>
      <c r="H49" s="117"/>
      <c r="I49" s="235"/>
      <c r="J49" s="147">
        <f t="shared" si="1"/>
        <v>0</v>
      </c>
      <c r="K49" s="218">
        <f t="shared" si="0"/>
        <v>0.61544638417525499</v>
      </c>
    </row>
    <row r="50" spans="1:11" x14ac:dyDescent="0.25">
      <c r="A50" s="153" t="s">
        <v>417</v>
      </c>
      <c r="B50" s="152">
        <v>18</v>
      </c>
      <c r="C50" s="116">
        <v>0</v>
      </c>
      <c r="D50" s="214">
        <v>0</v>
      </c>
      <c r="E50" s="193"/>
      <c r="F50" s="194"/>
      <c r="G50" s="142"/>
      <c r="H50" s="117"/>
      <c r="I50" s="235"/>
      <c r="J50" s="147">
        <f t="shared" si="1"/>
        <v>0</v>
      </c>
      <c r="K50" s="218">
        <f t="shared" si="0"/>
        <v>0</v>
      </c>
    </row>
    <row r="51" spans="1:11" x14ac:dyDescent="0.25">
      <c r="A51" s="153" t="s">
        <v>18</v>
      </c>
      <c r="B51" s="152">
        <v>1145032.899</v>
      </c>
      <c r="C51" s="116">
        <v>169545</v>
      </c>
      <c r="D51" s="214">
        <v>0.14806998134994198</v>
      </c>
      <c r="E51" s="193"/>
      <c r="F51" s="194"/>
      <c r="G51" s="142"/>
      <c r="H51" s="152">
        <f>'Priority Actions'!C8</f>
        <v>13181.099999999999</v>
      </c>
      <c r="I51" s="142">
        <f>4500+3550</f>
        <v>8050</v>
      </c>
      <c r="J51" s="147">
        <f t="shared" si="1"/>
        <v>21231.1</v>
      </c>
      <c r="K51" s="218">
        <f t="shared" si="0"/>
        <v>0.16661189400462809</v>
      </c>
    </row>
    <row r="52" spans="1:11" x14ac:dyDescent="0.25">
      <c r="A52" s="153" t="s">
        <v>109</v>
      </c>
      <c r="B52" s="152">
        <v>1701.1237189999999</v>
      </c>
      <c r="C52" s="116">
        <v>172.69</v>
      </c>
      <c r="D52" s="214">
        <v>0.10151525022619474</v>
      </c>
      <c r="E52" s="140">
        <v>0.17</v>
      </c>
      <c r="F52" s="192" t="s">
        <v>284</v>
      </c>
      <c r="G52" s="142"/>
      <c r="H52" s="117"/>
      <c r="I52" s="142">
        <f>'GEF projects'!B13</f>
        <v>221.45</v>
      </c>
      <c r="J52" s="147">
        <f t="shared" si="1"/>
        <v>221.45</v>
      </c>
      <c r="K52" s="218">
        <f t="shared" si="0"/>
        <v>0.23169390656177194</v>
      </c>
    </row>
    <row r="53" spans="1:11" x14ac:dyDescent="0.25">
      <c r="A53" s="153" t="s">
        <v>9</v>
      </c>
      <c r="B53" s="152">
        <v>343736.73950000003</v>
      </c>
      <c r="C53" s="116">
        <v>140031.6</v>
      </c>
      <c r="D53" s="214">
        <v>0.40738036965059415</v>
      </c>
      <c r="E53" s="140">
        <v>0.2</v>
      </c>
      <c r="F53" s="149">
        <f>IF(E53&gt;D53, E53*B53-C53, 0)</f>
        <v>0</v>
      </c>
      <c r="G53" s="142">
        <f>IF(F53&gt;(H53+I53), F53-H53-I53, 0)</f>
        <v>0</v>
      </c>
      <c r="H53" s="117"/>
      <c r="I53" s="139">
        <v>933</v>
      </c>
      <c r="J53" s="147">
        <f t="shared" si="1"/>
        <v>933</v>
      </c>
      <c r="K53" s="218">
        <f t="shared" si="0"/>
        <v>0.41009465617509294</v>
      </c>
    </row>
    <row r="54" spans="1:11" x14ac:dyDescent="0.25">
      <c r="A54" s="153" t="s">
        <v>73</v>
      </c>
      <c r="B54" s="152">
        <v>258.14191099999999</v>
      </c>
      <c r="C54" s="116">
        <v>67.099999999999994</v>
      </c>
      <c r="D54" s="214">
        <v>0.25993454429800045</v>
      </c>
      <c r="E54" s="193"/>
      <c r="F54" s="194"/>
      <c r="G54" s="142"/>
      <c r="H54" s="117"/>
      <c r="I54" s="235"/>
      <c r="J54" s="147">
        <f t="shared" si="1"/>
        <v>0</v>
      </c>
      <c r="K54" s="218">
        <f t="shared" si="0"/>
        <v>0.25993454429800045</v>
      </c>
    </row>
    <row r="55" spans="1:11" x14ac:dyDescent="0.25">
      <c r="A55" s="153" t="s">
        <v>145</v>
      </c>
      <c r="B55" s="152">
        <v>51636.141989999996</v>
      </c>
      <c r="C55" s="116">
        <v>14252.97</v>
      </c>
      <c r="D55" s="214">
        <v>0.27602701229616011</v>
      </c>
      <c r="E55" s="141" t="s">
        <v>296</v>
      </c>
      <c r="F55" s="149">
        <f>0.005*B55</f>
        <v>258.18070994999999</v>
      </c>
      <c r="G55" s="142">
        <f>IF(F55&gt;(H55+I55), F55-H55-I55, 0)</f>
        <v>0</v>
      </c>
      <c r="H55" s="117">
        <f>0.005*B55</f>
        <v>258.18070994999999</v>
      </c>
      <c r="I55" s="139">
        <v>10</v>
      </c>
      <c r="J55" s="147">
        <f t="shared" si="1"/>
        <v>268.18070994999999</v>
      </c>
      <c r="K55" s="218">
        <f t="shared" si="0"/>
        <v>0.28122067509927845</v>
      </c>
    </row>
    <row r="56" spans="1:11" x14ac:dyDescent="0.25">
      <c r="A56" s="153" t="s">
        <v>217</v>
      </c>
      <c r="B56" s="152">
        <v>324107.70640000002</v>
      </c>
      <c r="C56" s="116">
        <v>74170.960000000006</v>
      </c>
      <c r="D56" s="214">
        <v>0.22884664121025663</v>
      </c>
      <c r="E56" s="193"/>
      <c r="F56" s="194"/>
      <c r="G56" s="142"/>
      <c r="H56" s="117"/>
      <c r="I56" s="235"/>
      <c r="J56" s="147">
        <f t="shared" si="1"/>
        <v>0</v>
      </c>
      <c r="K56" s="218">
        <f t="shared" si="0"/>
        <v>0.22884664121025663</v>
      </c>
    </row>
    <row r="57" spans="1:11" x14ac:dyDescent="0.25">
      <c r="A57" s="153" t="s">
        <v>43</v>
      </c>
      <c r="B57" s="152">
        <v>56855.885219999996</v>
      </c>
      <c r="C57" s="116">
        <v>21749.439999999999</v>
      </c>
      <c r="D57" s="214">
        <v>0.38253630061060545</v>
      </c>
      <c r="E57" s="193"/>
      <c r="F57" s="194"/>
      <c r="G57" s="142"/>
      <c r="H57" s="117"/>
      <c r="I57" s="235"/>
      <c r="J57" s="147">
        <f t="shared" si="1"/>
        <v>0</v>
      </c>
      <c r="K57" s="218">
        <f t="shared" si="0"/>
        <v>0.38253630061060545</v>
      </c>
    </row>
    <row r="58" spans="1:11" x14ac:dyDescent="0.25">
      <c r="A58" s="153" t="s">
        <v>12</v>
      </c>
      <c r="B58" s="152">
        <v>111643.27830000001</v>
      </c>
      <c r="C58" s="116">
        <v>18480.57</v>
      </c>
      <c r="D58" s="214">
        <v>0.1655323122126556</v>
      </c>
      <c r="E58" s="140">
        <v>0.2</v>
      </c>
      <c r="F58" s="149">
        <f>IF(E58&gt;D58, E58*B58-C58, 0)</f>
        <v>3848.0856600000043</v>
      </c>
      <c r="G58" s="142">
        <f>IF(F58&gt;(H58+I58), F58-H58-I58, 0)</f>
        <v>2698.0856600000043</v>
      </c>
      <c r="H58" s="117"/>
      <c r="I58" s="139">
        <v>1150</v>
      </c>
      <c r="J58" s="147">
        <f t="shared" si="1"/>
        <v>3848.0856600000043</v>
      </c>
      <c r="K58" s="218">
        <f t="shared" si="0"/>
        <v>0.20000000000000004</v>
      </c>
    </row>
    <row r="59" spans="1:11" x14ac:dyDescent="0.25">
      <c r="A59" s="153" t="s">
        <v>159</v>
      </c>
      <c r="B59" s="152">
        <v>450.97538500000002</v>
      </c>
      <c r="C59" s="116">
        <v>71</v>
      </c>
      <c r="D59" s="214">
        <v>0.15743653059911461</v>
      </c>
      <c r="E59" s="141"/>
      <c r="F59" s="149"/>
      <c r="G59" s="142"/>
      <c r="H59" s="117"/>
      <c r="I59" s="235"/>
      <c r="J59" s="147">
        <f t="shared" si="1"/>
        <v>0</v>
      </c>
      <c r="K59" s="218">
        <f t="shared" si="0"/>
        <v>0.15743653059911461</v>
      </c>
    </row>
    <row r="60" spans="1:11" x14ac:dyDescent="0.25">
      <c r="A60" s="153" t="s">
        <v>50</v>
      </c>
      <c r="B60" s="152">
        <v>9063.4339450000007</v>
      </c>
      <c r="C60" s="116">
        <v>3385</v>
      </c>
      <c r="D60" s="214">
        <v>0.37347875215302845</v>
      </c>
      <c r="E60" s="141"/>
      <c r="F60" s="149"/>
      <c r="G60" s="142"/>
      <c r="H60" s="117"/>
      <c r="I60" s="235"/>
      <c r="J60" s="147">
        <f t="shared" si="1"/>
        <v>0</v>
      </c>
      <c r="K60" s="218">
        <f t="shared" si="0"/>
        <v>0.37347875215302845</v>
      </c>
    </row>
    <row r="61" spans="1:11" x14ac:dyDescent="0.25">
      <c r="A61" s="153" t="s">
        <v>33</v>
      </c>
      <c r="B61" s="152">
        <v>77916.897859999997</v>
      </c>
      <c r="C61" s="116">
        <v>17263.02</v>
      </c>
      <c r="D61" s="214">
        <v>0.22155681853528045</v>
      </c>
      <c r="E61" s="141"/>
      <c r="F61" s="149"/>
      <c r="G61" s="142"/>
      <c r="H61" s="117"/>
      <c r="I61" s="235"/>
      <c r="J61" s="147">
        <f t="shared" si="1"/>
        <v>0</v>
      </c>
      <c r="K61" s="218">
        <f t="shared" si="0"/>
        <v>0.22155681853528045</v>
      </c>
    </row>
    <row r="62" spans="1:11" x14ac:dyDescent="0.25">
      <c r="A62" s="153" t="s">
        <v>104</v>
      </c>
      <c r="B62" s="152">
        <v>122186.1412</v>
      </c>
      <c r="C62" s="116">
        <v>2975.65</v>
      </c>
      <c r="D62" s="214">
        <v>2.4353416604992188E-2</v>
      </c>
      <c r="E62" s="140">
        <v>0.08</v>
      </c>
      <c r="F62" s="149">
        <f>IF(E62&gt;D62, E62*B62-C62, 0)</f>
        <v>6799.2412960000001</v>
      </c>
      <c r="G62" s="142">
        <f>IF(F62&gt;(H62+I62), F62-H62-I62, 0)</f>
        <v>0</v>
      </c>
      <c r="H62" s="117">
        <f>0.08*B62-C62</f>
        <v>6799.2412960000001</v>
      </c>
      <c r="I62" s="235"/>
      <c r="J62" s="147">
        <f t="shared" si="1"/>
        <v>6799.2412960000001</v>
      </c>
      <c r="K62" s="218">
        <f t="shared" si="0"/>
        <v>0.08</v>
      </c>
    </row>
    <row r="63" spans="1:11" x14ac:dyDescent="0.25">
      <c r="A63" s="153" t="s">
        <v>189</v>
      </c>
      <c r="B63" s="152">
        <v>2344275.1140000001</v>
      </c>
      <c r="C63" s="116">
        <v>324289.68</v>
      </c>
      <c r="D63" s="214">
        <v>0.13833260356830285</v>
      </c>
      <c r="E63" s="140">
        <v>0.17</v>
      </c>
      <c r="F63" s="149">
        <f>IF(E63&gt;D63, E63*B63-C63, 0)</f>
        <v>74237.089380000019</v>
      </c>
      <c r="G63" s="142">
        <f>IF(F63&gt;(H63+I63), F63-H63-I63, 0)</f>
        <v>45534.35017000002</v>
      </c>
      <c r="H63" s="152">
        <f>0.015*B63-26461.3875</f>
        <v>8702.7392099999961</v>
      </c>
      <c r="I63" s="139">
        <v>20000</v>
      </c>
      <c r="J63" s="147">
        <f t="shared" si="1"/>
        <v>74237.089380000019</v>
      </c>
      <c r="K63" s="218">
        <f t="shared" si="0"/>
        <v>0.17</v>
      </c>
    </row>
    <row r="64" spans="1:11" x14ac:dyDescent="0.25">
      <c r="A64" s="153" t="s">
        <v>239</v>
      </c>
      <c r="B64" s="152">
        <v>45314.397779999999</v>
      </c>
      <c r="C64" s="116">
        <v>8202.82</v>
      </c>
      <c r="D64" s="214">
        <v>0.18102017022987787</v>
      </c>
      <c r="E64" s="141"/>
      <c r="F64" s="149"/>
      <c r="G64" s="142"/>
      <c r="H64" s="117"/>
      <c r="I64" s="235"/>
      <c r="J64" s="147">
        <f t="shared" si="1"/>
        <v>0</v>
      </c>
      <c r="K64" s="218">
        <f t="shared" si="0"/>
        <v>0.18102017022987787</v>
      </c>
    </row>
    <row r="65" spans="1:11" x14ac:dyDescent="0.25">
      <c r="A65" s="153" t="s">
        <v>143</v>
      </c>
      <c r="B65" s="152">
        <v>21843.652119999999</v>
      </c>
      <c r="C65" s="116">
        <v>343.96</v>
      </c>
      <c r="D65" s="214">
        <v>1.5746451102152052E-2</v>
      </c>
      <c r="E65" s="193"/>
      <c r="F65" s="194"/>
      <c r="G65" s="142"/>
      <c r="H65" s="117"/>
      <c r="I65" s="235"/>
      <c r="J65" s="147">
        <f t="shared" si="1"/>
        <v>0</v>
      </c>
      <c r="K65" s="218">
        <f t="shared" si="0"/>
        <v>1.5746451102152052E-2</v>
      </c>
    </row>
    <row r="66" spans="1:11" x14ac:dyDescent="0.25">
      <c r="A66" s="153" t="s">
        <v>77</v>
      </c>
      <c r="B66" s="152">
        <v>766.22784000000001</v>
      </c>
      <c r="C66" s="116">
        <v>168.47</v>
      </c>
      <c r="D66" s="214">
        <v>0.21986932764019643</v>
      </c>
      <c r="E66" s="140">
        <v>0.2</v>
      </c>
      <c r="F66" s="149">
        <f>IF(E66&gt;D66, E66*B66-C66, 0)</f>
        <v>0</v>
      </c>
      <c r="G66" s="142">
        <f>IF(F66&gt;(H66+I66), F66-H66-I66, 0)</f>
        <v>0</v>
      </c>
      <c r="H66" s="117"/>
      <c r="I66" s="235"/>
      <c r="J66" s="147">
        <f t="shared" si="1"/>
        <v>0</v>
      </c>
      <c r="K66" s="218">
        <f t="shared" ref="K66:K129" si="2">(J66+C66)/B66</f>
        <v>0.21986932764019643</v>
      </c>
    </row>
    <row r="67" spans="1:11" x14ac:dyDescent="0.25">
      <c r="A67" s="153" t="s">
        <v>52</v>
      </c>
      <c r="B67" s="152">
        <v>48509.805469999999</v>
      </c>
      <c r="C67" s="116">
        <v>12727.4</v>
      </c>
      <c r="D67" s="214">
        <v>0.26236757448699782</v>
      </c>
      <c r="E67" s="141"/>
      <c r="F67" s="149"/>
      <c r="G67" s="142"/>
      <c r="H67" s="117"/>
      <c r="I67" s="235"/>
      <c r="J67" s="147">
        <f t="shared" si="1"/>
        <v>0</v>
      </c>
      <c r="K67" s="218">
        <f t="shared" si="2"/>
        <v>0.26236757448699782</v>
      </c>
    </row>
    <row r="68" spans="1:11" x14ac:dyDescent="0.25">
      <c r="A68" s="153" t="s">
        <v>86</v>
      </c>
      <c r="B68" s="152">
        <v>258138.66870000001</v>
      </c>
      <c r="C68" s="116">
        <v>55980</v>
      </c>
      <c r="D68" s="214">
        <v>0.21686018713088684</v>
      </c>
      <c r="E68" s="195"/>
      <c r="F68" s="149"/>
      <c r="G68" s="142"/>
      <c r="H68" s="117"/>
      <c r="I68" s="235"/>
      <c r="J68" s="147">
        <f t="shared" ref="J68:J131" si="3">G68+H68+I68</f>
        <v>0</v>
      </c>
      <c r="K68" s="218">
        <f t="shared" si="2"/>
        <v>0.21686018713088684</v>
      </c>
    </row>
    <row r="69" spans="1:11" x14ac:dyDescent="0.25">
      <c r="A69" s="153" t="s">
        <v>152</v>
      </c>
      <c r="B69" s="152">
        <v>984997.48809999996</v>
      </c>
      <c r="C69" s="116">
        <v>129389.82</v>
      </c>
      <c r="D69" s="214">
        <v>0.13136055833968174</v>
      </c>
      <c r="E69" s="140">
        <v>0.17</v>
      </c>
      <c r="F69" s="192" t="s">
        <v>284</v>
      </c>
      <c r="G69" s="142"/>
      <c r="H69" s="152">
        <v>2000</v>
      </c>
      <c r="I69" s="139">
        <v>450</v>
      </c>
      <c r="J69" s="147">
        <f t="shared" si="3"/>
        <v>2450</v>
      </c>
      <c r="K69" s="218">
        <f t="shared" si="2"/>
        <v>0.13384787432738632</v>
      </c>
    </row>
    <row r="70" spans="1:11" x14ac:dyDescent="0.25">
      <c r="A70" s="153" t="s">
        <v>93</v>
      </c>
      <c r="B70" s="152">
        <v>20573.304370000002</v>
      </c>
      <c r="C70" s="116">
        <v>1805.57</v>
      </c>
      <c r="D70" s="214">
        <v>8.7762761271975478E-2</v>
      </c>
      <c r="E70" s="141"/>
      <c r="F70" s="149"/>
      <c r="G70" s="142"/>
      <c r="H70" s="117"/>
      <c r="I70" s="139">
        <v>200</v>
      </c>
      <c r="J70" s="147">
        <f t="shared" si="3"/>
        <v>200</v>
      </c>
      <c r="K70" s="218">
        <f t="shared" si="2"/>
        <v>9.7484097057569552E-2</v>
      </c>
    </row>
    <row r="71" spans="1:11" x14ac:dyDescent="0.25">
      <c r="A71" s="153" t="s">
        <v>233</v>
      </c>
      <c r="B71" s="152">
        <v>27136.017820000001</v>
      </c>
      <c r="C71" s="116">
        <v>5228.2299999999996</v>
      </c>
      <c r="D71" s="214">
        <v>0.19266754741540038</v>
      </c>
      <c r="E71" s="193"/>
      <c r="F71" s="194"/>
      <c r="G71" s="142"/>
      <c r="H71" s="117"/>
      <c r="I71" s="235"/>
      <c r="J71" s="147">
        <f t="shared" si="3"/>
        <v>0</v>
      </c>
      <c r="K71" s="218">
        <f t="shared" si="2"/>
        <v>0.19266754741540038</v>
      </c>
    </row>
    <row r="72" spans="1:11" x14ac:dyDescent="0.25">
      <c r="A72" s="153" t="s">
        <v>184</v>
      </c>
      <c r="B72" s="152">
        <v>121834.4031</v>
      </c>
      <c r="C72" s="116">
        <v>5936.25</v>
      </c>
      <c r="D72" s="214">
        <v>4.8723922381165262E-2</v>
      </c>
      <c r="E72" s="141" t="s">
        <v>300</v>
      </c>
      <c r="F72" s="149">
        <v>6492.66</v>
      </c>
      <c r="G72" s="142">
        <f>IF(F72&gt;(H72+I72), F72-H72-I72, 0)</f>
        <v>0</v>
      </c>
      <c r="H72" s="152">
        <v>6492.76</v>
      </c>
      <c r="I72" s="139">
        <v>1907.7</v>
      </c>
      <c r="J72" s="147">
        <f t="shared" si="3"/>
        <v>8400.4600000000009</v>
      </c>
      <c r="K72" s="218">
        <f t="shared" si="2"/>
        <v>0.11767374103874935</v>
      </c>
    </row>
    <row r="73" spans="1:11" x14ac:dyDescent="0.25">
      <c r="A73" s="153" t="s">
        <v>230</v>
      </c>
      <c r="B73" s="152">
        <v>45416.482839999997</v>
      </c>
      <c r="C73" s="116">
        <v>9182.52</v>
      </c>
      <c r="D73" s="214">
        <v>0.20218474496031671</v>
      </c>
      <c r="E73" s="141"/>
      <c r="F73" s="149"/>
      <c r="G73" s="142"/>
      <c r="H73" s="117"/>
      <c r="I73" s="235"/>
      <c r="J73" s="147">
        <f t="shared" si="3"/>
        <v>0</v>
      </c>
      <c r="K73" s="218">
        <f t="shared" si="2"/>
        <v>0.20218474496031671</v>
      </c>
    </row>
    <row r="74" spans="1:11" x14ac:dyDescent="0.25">
      <c r="A74" s="153" t="s">
        <v>418</v>
      </c>
      <c r="B74" s="152">
        <v>17335.866999999998</v>
      </c>
      <c r="C74" s="116">
        <v>733.83</v>
      </c>
      <c r="D74" s="214">
        <v>4.2330158624313399E-2</v>
      </c>
      <c r="E74" s="140">
        <v>0.2</v>
      </c>
      <c r="F74" s="192" t="s">
        <v>304</v>
      </c>
      <c r="G74" s="142"/>
      <c r="H74" s="152">
        <f>0.124*B74-C74-I74</f>
        <v>1167.3675079999996</v>
      </c>
      <c r="I74" s="139">
        <v>248.45</v>
      </c>
      <c r="J74" s="147">
        <f t="shared" si="3"/>
        <v>1415.8175079999996</v>
      </c>
      <c r="K74" s="218">
        <f t="shared" si="2"/>
        <v>0.12399999999999999</v>
      </c>
    </row>
    <row r="75" spans="1:11" x14ac:dyDescent="0.25">
      <c r="A75" s="153" t="s">
        <v>164</v>
      </c>
      <c r="B75" s="152">
        <v>1135429.227</v>
      </c>
      <c r="C75" s="116">
        <v>200074</v>
      </c>
      <c r="D75" s="214">
        <v>0.17621001401261271</v>
      </c>
      <c r="E75" s="140">
        <v>0.2</v>
      </c>
      <c r="F75" s="149">
        <f>IF(E75&gt;D75, E75*B75-C75, 0)</f>
        <v>27011.845399999991</v>
      </c>
      <c r="G75" s="142">
        <f>IF(F75&gt;(H75+I75), F75-H75-I75, 0)</f>
        <v>27011.845399999991</v>
      </c>
      <c r="H75" s="117"/>
      <c r="I75" s="235"/>
      <c r="J75" s="147">
        <f t="shared" si="3"/>
        <v>27011.845399999991</v>
      </c>
      <c r="K75" s="218">
        <f t="shared" si="2"/>
        <v>0.2</v>
      </c>
    </row>
    <row r="76" spans="1:11" x14ac:dyDescent="0.25">
      <c r="A76" s="153" t="s">
        <v>207</v>
      </c>
      <c r="B76" s="152">
        <v>12400.947</v>
      </c>
      <c r="C76" s="116">
        <v>61.1</v>
      </c>
      <c r="D76" s="214">
        <v>4.9270430717912109E-3</v>
      </c>
      <c r="E76" s="193"/>
      <c r="F76" s="194"/>
      <c r="G76" s="142"/>
      <c r="H76" s="117"/>
      <c r="I76" s="235"/>
      <c r="J76" s="147">
        <f t="shared" si="3"/>
        <v>0</v>
      </c>
      <c r="K76" s="218">
        <f t="shared" si="2"/>
        <v>4.9270430717912109E-3</v>
      </c>
    </row>
    <row r="77" spans="1:11" x14ac:dyDescent="0.25">
      <c r="A77" s="153" t="s">
        <v>126</v>
      </c>
      <c r="B77" s="152">
        <v>1450.6449090000001</v>
      </c>
      <c r="C77" s="116">
        <v>33.79</v>
      </c>
      <c r="D77" s="214">
        <v>2.3293088329447272E-2</v>
      </c>
      <c r="E77" s="141"/>
      <c r="F77" s="194"/>
      <c r="G77" s="142"/>
      <c r="H77" s="117"/>
      <c r="I77" s="235"/>
      <c r="J77" s="147">
        <f t="shared" si="3"/>
        <v>0</v>
      </c>
      <c r="K77" s="218">
        <f t="shared" si="2"/>
        <v>2.3293088329447272E-2</v>
      </c>
    </row>
    <row r="78" spans="1:11" x14ac:dyDescent="0.25">
      <c r="A78" s="153" t="s">
        <v>76</v>
      </c>
      <c r="B78" s="152">
        <v>19154.956139999998</v>
      </c>
      <c r="C78" s="116">
        <v>1036.51</v>
      </c>
      <c r="D78" s="214">
        <v>5.4111844079638809E-2</v>
      </c>
      <c r="E78" s="141"/>
      <c r="F78" s="149"/>
      <c r="G78" s="142"/>
      <c r="H78" s="117"/>
      <c r="I78" s="139">
        <v>18.440000000000001</v>
      </c>
      <c r="J78" s="147">
        <f t="shared" si="3"/>
        <v>18.440000000000001</v>
      </c>
      <c r="K78" s="218">
        <f t="shared" si="2"/>
        <v>5.507451921526562E-2</v>
      </c>
    </row>
    <row r="79" spans="1:11" x14ac:dyDescent="0.25">
      <c r="A79" s="153" t="s">
        <v>227</v>
      </c>
      <c r="B79" s="152">
        <v>336146</v>
      </c>
      <c r="C79" s="116">
        <v>50500.12</v>
      </c>
      <c r="D79" s="214">
        <v>0.15023269650687499</v>
      </c>
      <c r="E79" s="140">
        <v>0.17</v>
      </c>
      <c r="F79" s="149">
        <f>IF(E79&gt;D79, E79*B79-C79, 0)</f>
        <v>6644.7000000000044</v>
      </c>
      <c r="G79" s="142">
        <f>IF(F79&gt;(H79+I79), F79-H79-I79, 0)</f>
        <v>6644.7000000000044</v>
      </c>
      <c r="H79" s="117"/>
      <c r="I79" s="235"/>
      <c r="J79" s="147">
        <f t="shared" si="3"/>
        <v>6644.7000000000044</v>
      </c>
      <c r="K79" s="218">
        <f t="shared" si="2"/>
        <v>0.17</v>
      </c>
    </row>
    <row r="80" spans="1:11" x14ac:dyDescent="0.25">
      <c r="A80" s="153" t="s">
        <v>236</v>
      </c>
      <c r="B80" s="152">
        <v>548954.07010000001</v>
      </c>
      <c r="C80" s="116">
        <v>141586</v>
      </c>
      <c r="D80" s="214">
        <v>0.25791957417167533</v>
      </c>
      <c r="E80" s="141"/>
      <c r="F80" s="149"/>
      <c r="G80" s="142"/>
      <c r="H80" s="117"/>
      <c r="I80" s="235"/>
      <c r="J80" s="147">
        <f t="shared" si="3"/>
        <v>0</v>
      </c>
      <c r="K80" s="218">
        <f t="shared" si="2"/>
        <v>0.25791957417167533</v>
      </c>
    </row>
    <row r="81" spans="1:11" x14ac:dyDescent="0.25">
      <c r="A81" s="153" t="s">
        <v>225</v>
      </c>
      <c r="B81" s="152">
        <v>83034.509250000003</v>
      </c>
      <c r="C81" s="116">
        <v>43937.55</v>
      </c>
      <c r="D81" s="214">
        <v>0.52914806623006572</v>
      </c>
      <c r="E81" s="141"/>
      <c r="F81" s="149"/>
      <c r="G81" s="142"/>
      <c r="H81" s="117"/>
      <c r="I81" s="235"/>
      <c r="J81" s="147">
        <f t="shared" si="3"/>
        <v>0</v>
      </c>
      <c r="K81" s="218">
        <f t="shared" si="2"/>
        <v>0.52914806623006572</v>
      </c>
    </row>
    <row r="82" spans="1:11" x14ac:dyDescent="0.25">
      <c r="A82" s="153" t="s">
        <v>131</v>
      </c>
      <c r="B82" s="152">
        <v>3780.0613410000001</v>
      </c>
      <c r="C82" s="116">
        <v>73.83</v>
      </c>
      <c r="D82" s="214">
        <v>1.9531429080055236E-2</v>
      </c>
      <c r="E82" s="193"/>
      <c r="F82" s="194"/>
      <c r="G82" s="142"/>
      <c r="H82" s="117"/>
      <c r="I82" s="235"/>
      <c r="J82" s="147">
        <f t="shared" si="3"/>
        <v>0</v>
      </c>
      <c r="K82" s="218">
        <f t="shared" si="2"/>
        <v>1.9531429080055236E-2</v>
      </c>
    </row>
    <row r="83" spans="1:11" x14ac:dyDescent="0.25">
      <c r="A83" s="153" t="s">
        <v>57</v>
      </c>
      <c r="B83" s="152">
        <v>7855.4391580000001</v>
      </c>
      <c r="C83" s="116">
        <v>7851</v>
      </c>
      <c r="D83" s="214">
        <v>0.99943489372004368</v>
      </c>
      <c r="E83" s="193"/>
      <c r="F83" s="194"/>
      <c r="G83" s="142"/>
      <c r="H83" s="117"/>
      <c r="I83" s="235"/>
      <c r="J83" s="147">
        <f t="shared" si="3"/>
        <v>0</v>
      </c>
      <c r="K83" s="218">
        <f t="shared" si="2"/>
        <v>0.99943489372004368</v>
      </c>
    </row>
    <row r="84" spans="1:11" x14ac:dyDescent="0.25">
      <c r="A84" s="153" t="s">
        <v>10</v>
      </c>
      <c r="B84" s="152">
        <v>266044.6066</v>
      </c>
      <c r="C84" s="116">
        <v>59707.74</v>
      </c>
      <c r="D84" s="214">
        <v>0.22442755281925719</v>
      </c>
      <c r="E84" s="141"/>
      <c r="F84" s="149"/>
      <c r="G84" s="142"/>
      <c r="H84" s="152">
        <v>20449</v>
      </c>
      <c r="I84" s="235"/>
      <c r="J84" s="147">
        <f t="shared" si="3"/>
        <v>20449</v>
      </c>
      <c r="K84" s="218">
        <f t="shared" si="2"/>
        <v>0.30129060319766687</v>
      </c>
    </row>
    <row r="85" spans="1:11" x14ac:dyDescent="0.25">
      <c r="A85" s="153" t="s">
        <v>134</v>
      </c>
      <c r="B85" s="152">
        <v>10757.9084</v>
      </c>
      <c r="C85" s="116">
        <v>441.87</v>
      </c>
      <c r="D85" s="214">
        <v>4.1073969360066312E-2</v>
      </c>
      <c r="E85" s="140">
        <v>0.05</v>
      </c>
      <c r="F85" s="149">
        <f>IF(E85&gt;D85, E85*B85-C85, 0)</f>
        <v>96.025420000000054</v>
      </c>
      <c r="G85" s="142">
        <f>IF(F85&gt;(H85+I85), F85-H85-I85, 0)</f>
        <v>0</v>
      </c>
      <c r="H85" s="117"/>
      <c r="I85" s="139">
        <v>150</v>
      </c>
      <c r="J85" s="147">
        <f t="shared" si="3"/>
        <v>150</v>
      </c>
      <c r="K85" s="218">
        <f t="shared" si="2"/>
        <v>5.5017200183634207E-2</v>
      </c>
    </row>
    <row r="86" spans="1:11" x14ac:dyDescent="0.25">
      <c r="A86" s="153" t="s">
        <v>68</v>
      </c>
      <c r="B86" s="152">
        <v>69971.968370000002</v>
      </c>
      <c r="C86" s="116">
        <v>5831.18</v>
      </c>
      <c r="D86" s="214">
        <v>8.3335943461897502E-2</v>
      </c>
      <c r="E86" s="140">
        <v>0.12</v>
      </c>
      <c r="F86" s="149">
        <f>IF(E86&gt;D86, E86*B86-C86, 0)</f>
        <v>2565.4562043999995</v>
      </c>
      <c r="G86" s="142">
        <f>IF(F86&gt;(H86+I86), F86-H86-I86, 0)</f>
        <v>2455.5262043999996</v>
      </c>
      <c r="H86" s="117"/>
      <c r="I86" s="139">
        <v>109.93</v>
      </c>
      <c r="J86" s="147">
        <f t="shared" si="3"/>
        <v>2565.4562043999995</v>
      </c>
      <c r="K86" s="218">
        <f t="shared" si="2"/>
        <v>0.12</v>
      </c>
    </row>
    <row r="87" spans="1:11" x14ac:dyDescent="0.25">
      <c r="A87" s="153" t="s">
        <v>34</v>
      </c>
      <c r="B87" s="152">
        <v>357584.38540000003</v>
      </c>
      <c r="C87" s="116">
        <v>134994.98000000001</v>
      </c>
      <c r="D87" s="214">
        <v>0.37751922486490092</v>
      </c>
      <c r="E87" s="140"/>
      <c r="F87" s="149"/>
      <c r="G87" s="142"/>
      <c r="H87" s="117"/>
      <c r="I87" s="235"/>
      <c r="J87" s="147">
        <f t="shared" si="3"/>
        <v>0</v>
      </c>
      <c r="K87" s="218">
        <f t="shared" si="2"/>
        <v>0.37751922486490092</v>
      </c>
    </row>
    <row r="88" spans="1:11" x14ac:dyDescent="0.25">
      <c r="A88" s="153" t="s">
        <v>191</v>
      </c>
      <c r="B88" s="152">
        <v>240329.98319999999</v>
      </c>
      <c r="C88" s="116">
        <v>36153</v>
      </c>
      <c r="D88" s="214">
        <v>0.15043066836115021</v>
      </c>
      <c r="E88" s="140">
        <v>0.17</v>
      </c>
      <c r="F88" s="192" t="s">
        <v>284</v>
      </c>
      <c r="G88" s="142"/>
      <c r="H88" s="117"/>
      <c r="I88" s="235"/>
      <c r="J88" s="147">
        <f t="shared" si="3"/>
        <v>0</v>
      </c>
      <c r="K88" s="218">
        <f t="shared" si="2"/>
        <v>0.15043066836115021</v>
      </c>
    </row>
    <row r="89" spans="1:11" x14ac:dyDescent="0.25">
      <c r="A89" s="153" t="s">
        <v>200</v>
      </c>
      <c r="B89" s="152">
        <v>7.4832770000000002</v>
      </c>
      <c r="C89" s="116">
        <v>2.4300000000000002</v>
      </c>
      <c r="D89" s="214">
        <v>0.32472404803403643</v>
      </c>
      <c r="E89" s="193"/>
      <c r="F89" s="194"/>
      <c r="G89" s="142"/>
      <c r="H89" s="117"/>
      <c r="I89" s="235"/>
      <c r="J89" s="147">
        <f t="shared" si="3"/>
        <v>0</v>
      </c>
      <c r="K89" s="218">
        <f t="shared" si="2"/>
        <v>0.32472404803403643</v>
      </c>
    </row>
    <row r="90" spans="1:11" x14ac:dyDescent="0.25">
      <c r="A90" s="153" t="s">
        <v>70</v>
      </c>
      <c r="B90" s="152">
        <v>133012.2689</v>
      </c>
      <c r="C90" s="116">
        <v>46842.05</v>
      </c>
      <c r="D90" s="214">
        <v>0.35216337851673174</v>
      </c>
      <c r="E90" s="193"/>
      <c r="F90" s="194"/>
      <c r="G90" s="142"/>
      <c r="H90" s="117"/>
      <c r="I90" s="235"/>
      <c r="J90" s="147">
        <f t="shared" si="3"/>
        <v>0</v>
      </c>
      <c r="K90" s="218">
        <f t="shared" si="2"/>
        <v>0.35216337851673174</v>
      </c>
    </row>
    <row r="91" spans="1:11" x14ac:dyDescent="0.25">
      <c r="A91" s="153" t="s">
        <v>171</v>
      </c>
      <c r="B91" s="152">
        <v>2154016.4640000002</v>
      </c>
      <c r="C91" s="116">
        <v>886455.37</v>
      </c>
      <c r="D91" s="214">
        <v>0.4115360234312489</v>
      </c>
      <c r="E91" s="141"/>
      <c r="F91" s="194"/>
      <c r="G91" s="142"/>
      <c r="H91" s="117"/>
      <c r="I91" s="235"/>
      <c r="J91" s="147">
        <f t="shared" si="3"/>
        <v>0</v>
      </c>
      <c r="K91" s="218">
        <f t="shared" si="2"/>
        <v>0.4115360234312489</v>
      </c>
    </row>
    <row r="92" spans="1:11" x14ac:dyDescent="0.25">
      <c r="A92" s="153" t="s">
        <v>154</v>
      </c>
      <c r="B92" s="152">
        <v>373.56524400000001</v>
      </c>
      <c r="C92" s="116">
        <v>36.53</v>
      </c>
      <c r="D92" s="214">
        <v>9.7787469757223994E-2</v>
      </c>
      <c r="E92" s="193"/>
      <c r="F92" s="194"/>
      <c r="G92" s="142"/>
      <c r="H92" s="117"/>
      <c r="I92" s="139">
        <v>10</v>
      </c>
      <c r="J92" s="147">
        <f t="shared" si="3"/>
        <v>10</v>
      </c>
      <c r="K92" s="218">
        <f t="shared" si="2"/>
        <v>0.12455655537376491</v>
      </c>
    </row>
    <row r="93" spans="1:11" x14ac:dyDescent="0.25">
      <c r="A93" s="153" t="s">
        <v>139</v>
      </c>
      <c r="B93" s="152">
        <v>1678.541217</v>
      </c>
      <c r="C93" s="116">
        <v>1170.3</v>
      </c>
      <c r="D93" s="214">
        <v>0.69721254869846905</v>
      </c>
      <c r="E93" s="193"/>
      <c r="F93" s="194"/>
      <c r="G93" s="142"/>
      <c r="H93" s="117"/>
      <c r="I93" s="235"/>
      <c r="J93" s="147">
        <f t="shared" si="3"/>
        <v>0</v>
      </c>
      <c r="K93" s="218">
        <f t="shared" si="2"/>
        <v>0.69721254869846905</v>
      </c>
    </row>
    <row r="94" spans="1:11" x14ac:dyDescent="0.25">
      <c r="A94" s="153" t="s">
        <v>167</v>
      </c>
      <c r="B94" s="152">
        <v>561.24090100000001</v>
      </c>
      <c r="C94" s="116">
        <v>126.11</v>
      </c>
      <c r="D94" s="214">
        <v>0.22469852032398471</v>
      </c>
      <c r="E94" s="193"/>
      <c r="F94" s="194"/>
      <c r="G94" s="142"/>
      <c r="H94" s="117"/>
      <c r="I94" s="235"/>
      <c r="J94" s="147">
        <f t="shared" si="3"/>
        <v>0</v>
      </c>
      <c r="K94" s="218">
        <f t="shared" si="2"/>
        <v>0.22469852032398471</v>
      </c>
    </row>
    <row r="95" spans="1:11" x14ac:dyDescent="0.25">
      <c r="A95" s="153" t="s">
        <v>186</v>
      </c>
      <c r="B95" s="152">
        <v>109922.2585</v>
      </c>
      <c r="C95" s="116">
        <v>22039</v>
      </c>
      <c r="D95" s="214">
        <v>0.20049624435254851</v>
      </c>
      <c r="E95" s="140">
        <v>0.4</v>
      </c>
      <c r="F95" s="192" t="s">
        <v>304</v>
      </c>
      <c r="G95" s="142"/>
      <c r="H95" s="152">
        <v>200</v>
      </c>
      <c r="I95" s="235"/>
      <c r="J95" s="147">
        <f t="shared" si="3"/>
        <v>200</v>
      </c>
      <c r="K95" s="218">
        <f t="shared" si="2"/>
        <v>0.20231571206299406</v>
      </c>
    </row>
    <row r="96" spans="1:11" x14ac:dyDescent="0.25">
      <c r="A96" s="153" t="s">
        <v>211</v>
      </c>
      <c r="B96" s="152">
        <v>85.559741000000002</v>
      </c>
      <c r="C96" s="116">
        <v>3.43</v>
      </c>
      <c r="D96" s="214">
        <v>4.0088947908339272E-2</v>
      </c>
      <c r="E96" s="141"/>
      <c r="F96" s="149"/>
      <c r="G96" s="142"/>
      <c r="H96" s="117"/>
      <c r="I96" s="235"/>
      <c r="J96" s="147">
        <f t="shared" si="3"/>
        <v>0</v>
      </c>
      <c r="K96" s="218">
        <f t="shared" si="2"/>
        <v>4.0088947908339272E-2</v>
      </c>
    </row>
    <row r="97" spans="1:11" x14ac:dyDescent="0.25">
      <c r="A97" s="153" t="s">
        <v>8</v>
      </c>
      <c r="B97" s="152">
        <v>246426.80739999999</v>
      </c>
      <c r="C97" s="116">
        <v>87841.78</v>
      </c>
      <c r="D97" s="214">
        <v>0.35646194879039772</v>
      </c>
      <c r="E97" s="156" t="s">
        <v>462</v>
      </c>
      <c r="F97" s="149">
        <v>0</v>
      </c>
      <c r="G97" s="142">
        <f>IF(F97&gt;(H97+I97), F97-H97-I97, 0)</f>
        <v>0</v>
      </c>
      <c r="H97" s="117"/>
      <c r="I97" s="235"/>
      <c r="J97" s="147">
        <f t="shared" si="3"/>
        <v>0</v>
      </c>
      <c r="K97" s="218">
        <f t="shared" si="2"/>
        <v>0.35646194879039772</v>
      </c>
    </row>
    <row r="98" spans="1:11" x14ac:dyDescent="0.25">
      <c r="A98" s="153" t="s">
        <v>39</v>
      </c>
      <c r="B98" s="152">
        <v>34015.721230000003</v>
      </c>
      <c r="C98" s="116">
        <v>5667.92</v>
      </c>
      <c r="D98" s="214">
        <v>0.1666264831392493</v>
      </c>
      <c r="E98" s="141"/>
      <c r="F98" s="149"/>
      <c r="G98" s="142"/>
      <c r="H98" s="117"/>
      <c r="I98" s="235"/>
      <c r="J98" s="147">
        <f t="shared" si="3"/>
        <v>0</v>
      </c>
      <c r="K98" s="218">
        <f t="shared" si="2"/>
        <v>0.1666264831392493</v>
      </c>
    </row>
    <row r="99" spans="1:11" x14ac:dyDescent="0.25">
      <c r="A99" s="153" t="s">
        <v>98</v>
      </c>
      <c r="B99" s="152">
        <v>211200.2683</v>
      </c>
      <c r="C99" s="116">
        <v>18453.599999999999</v>
      </c>
      <c r="D99" s="214">
        <v>8.7374889002449246E-2</v>
      </c>
      <c r="E99" s="140">
        <v>0.17</v>
      </c>
      <c r="F99" s="149">
        <f>IF(E99&gt;D99, E99*B99-C99, 0)</f>
        <v>17450.445611000003</v>
      </c>
      <c r="G99" s="142">
        <f>IF(F99&gt;(H99+I99), F99-H99-I99, 0)</f>
        <v>17450.445611000003</v>
      </c>
      <c r="H99" s="117"/>
      <c r="I99" s="235"/>
      <c r="J99" s="147">
        <f t="shared" si="3"/>
        <v>17450.445611000003</v>
      </c>
      <c r="K99" s="218">
        <f t="shared" si="2"/>
        <v>0.17</v>
      </c>
    </row>
    <row r="100" spans="1:11" x14ac:dyDescent="0.25">
      <c r="A100" s="153" t="s">
        <v>127</v>
      </c>
      <c r="B100" s="152">
        <v>27390.241910000001</v>
      </c>
      <c r="C100" s="116">
        <v>534.08000000000004</v>
      </c>
      <c r="D100" s="214">
        <v>1.949891504262366E-2</v>
      </c>
      <c r="E100" s="193"/>
      <c r="F100" s="194"/>
      <c r="G100" s="142"/>
      <c r="H100" s="117"/>
      <c r="I100" s="235"/>
      <c r="J100" s="147">
        <f t="shared" si="3"/>
        <v>0</v>
      </c>
      <c r="K100" s="218">
        <f t="shared" si="2"/>
        <v>1.949891504262366E-2</v>
      </c>
    </row>
    <row r="101" spans="1:11" x14ac:dyDescent="0.25">
      <c r="A101" s="153" t="s">
        <v>181</v>
      </c>
      <c r="B101" s="152">
        <v>391.19890400000003</v>
      </c>
      <c r="C101" s="116">
        <v>391.2</v>
      </c>
      <c r="D101" s="214">
        <v>1.0000028016438409</v>
      </c>
      <c r="E101" s="141"/>
      <c r="F101" s="149"/>
      <c r="G101" s="142"/>
      <c r="H101" s="117"/>
      <c r="I101" s="235"/>
      <c r="J101" s="147">
        <f t="shared" si="3"/>
        <v>0</v>
      </c>
      <c r="K101" s="218">
        <f t="shared" si="2"/>
        <v>1.0000028016438409</v>
      </c>
    </row>
    <row r="102" spans="1:11" x14ac:dyDescent="0.25">
      <c r="A102" s="153" t="s">
        <v>28</v>
      </c>
      <c r="B102" s="152">
        <v>113291.4823</v>
      </c>
      <c r="C102" s="116">
        <v>27060.29</v>
      </c>
      <c r="D102" s="214">
        <v>0.23885546777773956</v>
      </c>
      <c r="E102" s="141"/>
      <c r="F102" s="149"/>
      <c r="G102" s="142"/>
      <c r="H102" s="117"/>
      <c r="I102" s="235"/>
      <c r="J102" s="147">
        <f t="shared" si="3"/>
        <v>0</v>
      </c>
      <c r="K102" s="218">
        <f t="shared" si="2"/>
        <v>0.23885546777773956</v>
      </c>
    </row>
    <row r="103" spans="1:11" x14ac:dyDescent="0.25">
      <c r="A103" s="153" t="s">
        <v>224</v>
      </c>
      <c r="B103" s="152">
        <v>93142.450670000006</v>
      </c>
      <c r="C103" s="116">
        <v>21047.919999999998</v>
      </c>
      <c r="D103" s="214">
        <v>0.22597558737821857</v>
      </c>
      <c r="E103" s="141"/>
      <c r="F103" s="149"/>
      <c r="G103" s="142"/>
      <c r="H103" s="117"/>
      <c r="I103" s="235"/>
      <c r="J103" s="147">
        <f t="shared" si="3"/>
        <v>0</v>
      </c>
      <c r="K103" s="218">
        <f t="shared" si="2"/>
        <v>0.22597558737821857</v>
      </c>
    </row>
    <row r="104" spans="1:11" x14ac:dyDescent="0.25">
      <c r="A104" s="153" t="s">
        <v>209</v>
      </c>
      <c r="B104" s="152">
        <v>102301.7663</v>
      </c>
      <c r="C104" s="116">
        <v>18569.34</v>
      </c>
      <c r="D104" s="214">
        <v>0.18151534105037245</v>
      </c>
      <c r="E104" s="193"/>
      <c r="F104" s="194"/>
      <c r="G104" s="142"/>
      <c r="H104" s="117"/>
      <c r="I104" s="235"/>
      <c r="J104" s="147">
        <f t="shared" si="3"/>
        <v>0</v>
      </c>
      <c r="K104" s="218">
        <f t="shared" si="2"/>
        <v>0.18151534105037245</v>
      </c>
    </row>
    <row r="105" spans="1:11" x14ac:dyDescent="0.25">
      <c r="A105" s="153" t="s">
        <v>45</v>
      </c>
      <c r="B105" s="152">
        <v>3061193.4959999998</v>
      </c>
      <c r="C105" s="116">
        <v>182646.7</v>
      </c>
      <c r="D105" s="214">
        <v>5.966519275526385E-2</v>
      </c>
      <c r="E105" s="140">
        <v>0.2</v>
      </c>
      <c r="F105" s="149">
        <f>IF(E105&gt;D105, E105*B105-C105, 0)</f>
        <v>429591.99920000002</v>
      </c>
      <c r="G105" s="142">
        <f>IF(F105&gt;(H105+I105), F105-H105-I105, 0)</f>
        <v>429457.99920000002</v>
      </c>
      <c r="H105" s="117"/>
      <c r="I105" s="139">
        <v>134</v>
      </c>
      <c r="J105" s="147">
        <f t="shared" si="3"/>
        <v>429591.99920000002</v>
      </c>
      <c r="K105" s="218">
        <f t="shared" si="2"/>
        <v>0.2</v>
      </c>
    </row>
    <row r="106" spans="1:11" x14ac:dyDescent="0.25">
      <c r="A106" s="153" t="s">
        <v>203</v>
      </c>
      <c r="B106" s="152">
        <v>1906555.047</v>
      </c>
      <c r="C106" s="116">
        <v>231945.7</v>
      </c>
      <c r="D106" s="214">
        <v>0.12165696467299536</v>
      </c>
      <c r="E106" s="193"/>
      <c r="F106" s="194"/>
      <c r="G106" s="142"/>
      <c r="H106" s="117"/>
      <c r="I106" s="139">
        <v>800</v>
      </c>
      <c r="J106" s="147">
        <f t="shared" si="3"/>
        <v>800</v>
      </c>
      <c r="K106" s="218">
        <f t="shared" si="2"/>
        <v>0.12207656965699978</v>
      </c>
    </row>
    <row r="107" spans="1:11" x14ac:dyDescent="0.25">
      <c r="A107" s="153" t="s">
        <v>6</v>
      </c>
      <c r="B107" s="152">
        <v>1627857.17</v>
      </c>
      <c r="C107" s="116">
        <v>140225.78</v>
      </c>
      <c r="D107" s="214">
        <v>8.6141328971754944E-2</v>
      </c>
      <c r="E107" s="140">
        <v>0.2</v>
      </c>
      <c r="F107" s="192" t="s">
        <v>284</v>
      </c>
      <c r="G107" s="142"/>
      <c r="H107" s="117"/>
      <c r="I107" s="139">
        <v>1000</v>
      </c>
      <c r="J107" s="147">
        <f t="shared" si="3"/>
        <v>1000</v>
      </c>
      <c r="K107" s="218">
        <f t="shared" si="2"/>
        <v>8.6755633481038152E-2</v>
      </c>
    </row>
    <row r="108" spans="1:11" x14ac:dyDescent="0.25">
      <c r="A108" s="153" t="s">
        <v>16</v>
      </c>
      <c r="B108" s="152">
        <v>437830.50520000001</v>
      </c>
      <c r="C108" s="116">
        <v>6714</v>
      </c>
      <c r="D108" s="214">
        <v>1.533470126055529E-2</v>
      </c>
      <c r="E108" s="193"/>
      <c r="F108" s="194"/>
      <c r="G108" s="142"/>
      <c r="H108" s="117"/>
      <c r="I108" s="139">
        <v>2240</v>
      </c>
      <c r="J108" s="147">
        <f t="shared" si="3"/>
        <v>2240</v>
      </c>
      <c r="K108" s="218">
        <f t="shared" si="2"/>
        <v>2.0450836325143294E-2</v>
      </c>
    </row>
    <row r="109" spans="1:11" x14ac:dyDescent="0.25">
      <c r="A109" s="153" t="s">
        <v>216</v>
      </c>
      <c r="B109" s="152">
        <v>70128.377040000007</v>
      </c>
      <c r="C109" s="116">
        <v>10127.42</v>
      </c>
      <c r="D109" s="214">
        <v>0.14441258200262494</v>
      </c>
      <c r="E109" s="141"/>
      <c r="F109" s="149"/>
      <c r="G109" s="142"/>
      <c r="H109" s="117"/>
      <c r="I109" s="235"/>
      <c r="J109" s="147">
        <f t="shared" si="3"/>
        <v>0</v>
      </c>
      <c r="K109" s="218">
        <f t="shared" si="2"/>
        <v>0.14441258200262494</v>
      </c>
    </row>
    <row r="110" spans="1:11" x14ac:dyDescent="0.25">
      <c r="A110" s="153" t="s">
        <v>55</v>
      </c>
      <c r="B110" s="152">
        <v>582.22659199999998</v>
      </c>
      <c r="C110" s="116">
        <v>32</v>
      </c>
      <c r="D110" s="214">
        <v>5.4961419556735051E-2</v>
      </c>
      <c r="E110" s="141"/>
      <c r="F110" s="149"/>
      <c r="G110" s="142"/>
      <c r="H110" s="117"/>
      <c r="I110" s="235"/>
      <c r="J110" s="147">
        <f t="shared" si="3"/>
        <v>0</v>
      </c>
      <c r="K110" s="218">
        <f t="shared" si="2"/>
        <v>5.4961419556735051E-2</v>
      </c>
    </row>
    <row r="111" spans="1:11" x14ac:dyDescent="0.25">
      <c r="A111" s="153" t="s">
        <v>197</v>
      </c>
      <c r="B111" s="152">
        <v>20958.032899999998</v>
      </c>
      <c r="C111" s="116">
        <v>4180.41</v>
      </c>
      <c r="D111" s="214">
        <v>0.19946576188455167</v>
      </c>
      <c r="E111" s="193"/>
      <c r="F111" s="194"/>
      <c r="G111" s="142"/>
      <c r="H111" s="117"/>
      <c r="I111" s="235"/>
      <c r="J111" s="147">
        <f t="shared" si="3"/>
        <v>0</v>
      </c>
      <c r="K111" s="218">
        <f t="shared" si="2"/>
        <v>0.19946576188455167</v>
      </c>
    </row>
    <row r="112" spans="1:11" x14ac:dyDescent="0.25">
      <c r="A112" s="153" t="s">
        <v>215</v>
      </c>
      <c r="B112" s="152">
        <v>301335.30969999998</v>
      </c>
      <c r="C112" s="116">
        <v>64904.79</v>
      </c>
      <c r="D112" s="214">
        <v>0.215390589521743</v>
      </c>
      <c r="E112" s="141"/>
      <c r="F112" s="149"/>
      <c r="G112" s="142"/>
      <c r="H112" s="117"/>
      <c r="I112" s="235"/>
      <c r="J112" s="147">
        <f t="shared" si="3"/>
        <v>0</v>
      </c>
      <c r="K112" s="218">
        <f t="shared" si="2"/>
        <v>0.215390589521743</v>
      </c>
    </row>
    <row r="113" spans="1:11" x14ac:dyDescent="0.25">
      <c r="A113" s="153" t="s">
        <v>180</v>
      </c>
      <c r="B113" s="152">
        <v>11058.945390000001</v>
      </c>
      <c r="C113" s="116">
        <v>1760.2</v>
      </c>
      <c r="D113" s="214">
        <v>0.15916526738541023</v>
      </c>
      <c r="E113" s="140">
        <v>0.17</v>
      </c>
      <c r="F113" s="149">
        <f>IF(E113&gt;D113, E113*B113-C113, 0)</f>
        <v>119.82071630000019</v>
      </c>
      <c r="G113" s="142">
        <f>IF(F113&gt;(H113+I113), F113-H113-I113, 0)</f>
        <v>119.82071630000019</v>
      </c>
      <c r="H113" s="117"/>
      <c r="I113" s="235"/>
      <c r="J113" s="147">
        <f t="shared" si="3"/>
        <v>119.82071630000019</v>
      </c>
      <c r="K113" s="218">
        <f t="shared" si="2"/>
        <v>0.17</v>
      </c>
    </row>
    <row r="114" spans="1:11" x14ac:dyDescent="0.25">
      <c r="A114" s="153" t="s">
        <v>148</v>
      </c>
      <c r="B114" s="152">
        <v>374092.79450000002</v>
      </c>
      <c r="C114" s="116">
        <v>109936.66</v>
      </c>
      <c r="D114" s="214">
        <v>0.29387537428230254</v>
      </c>
      <c r="E114" s="140">
        <v>0.17</v>
      </c>
      <c r="F114" s="149">
        <f>IF(E114&gt;D114, E114*B114-C114, 0)</f>
        <v>0</v>
      </c>
      <c r="G114" s="142">
        <f>IF(F114&gt;(H114+I114), F114-H114-I114, 0)</f>
        <v>0</v>
      </c>
      <c r="H114" s="117"/>
      <c r="I114" s="235"/>
      <c r="J114" s="147">
        <f t="shared" si="3"/>
        <v>0</v>
      </c>
      <c r="K114" s="218">
        <f t="shared" si="2"/>
        <v>0.29387537428230254</v>
      </c>
    </row>
    <row r="115" spans="1:11" x14ac:dyDescent="0.25">
      <c r="A115" s="153" t="s">
        <v>65</v>
      </c>
      <c r="B115" s="152">
        <v>125.218467</v>
      </c>
      <c r="C115" s="116">
        <v>22.34</v>
      </c>
      <c r="D115" s="214">
        <v>0.17840818958436858</v>
      </c>
      <c r="E115" s="193"/>
      <c r="F115" s="194"/>
      <c r="G115" s="142"/>
      <c r="H115" s="117"/>
      <c r="I115" s="235"/>
      <c r="J115" s="147">
        <f t="shared" si="3"/>
        <v>0</v>
      </c>
      <c r="K115" s="218">
        <f t="shared" si="2"/>
        <v>0.17840818958436858</v>
      </c>
    </row>
    <row r="116" spans="1:11" x14ac:dyDescent="0.25">
      <c r="A116" s="153" t="s">
        <v>40</v>
      </c>
      <c r="B116" s="152">
        <v>89689.840240000005</v>
      </c>
      <c r="C116" s="116">
        <v>1588.03</v>
      </c>
      <c r="D116" s="214">
        <v>1.7705795837640127E-2</v>
      </c>
      <c r="E116" s="140">
        <v>0.02</v>
      </c>
      <c r="F116" s="149">
        <f>IF(E116&gt;D116, E116*B116-C116, 0)</f>
        <v>205.76680480000027</v>
      </c>
      <c r="G116" s="142">
        <f>IF(F116&gt;(H116+I116), F116-H116-I116, 0)</f>
        <v>205.76680480000027</v>
      </c>
      <c r="H116" s="117"/>
      <c r="I116" s="235"/>
      <c r="J116" s="147">
        <f t="shared" si="3"/>
        <v>205.76680480000027</v>
      </c>
      <c r="K116" s="218">
        <f t="shared" si="2"/>
        <v>0.02</v>
      </c>
    </row>
    <row r="117" spans="1:11" x14ac:dyDescent="0.25">
      <c r="A117" s="153" t="s">
        <v>177</v>
      </c>
      <c r="B117" s="152">
        <v>2719827.8689999999</v>
      </c>
      <c r="C117" s="116">
        <v>90083.03</v>
      </c>
      <c r="D117" s="214">
        <v>3.3120857031706516E-2</v>
      </c>
      <c r="E117" s="193"/>
      <c r="F117" s="194"/>
      <c r="G117" s="142"/>
      <c r="H117" s="117"/>
      <c r="I117" s="139">
        <v>37907.629999999997</v>
      </c>
      <c r="J117" s="147">
        <f t="shared" si="3"/>
        <v>37907.629999999997</v>
      </c>
      <c r="K117" s="218">
        <f t="shared" si="2"/>
        <v>4.7058367722019989E-2</v>
      </c>
    </row>
    <row r="118" spans="1:11" x14ac:dyDescent="0.25">
      <c r="A118" s="153" t="s">
        <v>22</v>
      </c>
      <c r="B118" s="152">
        <v>586770.00150000001</v>
      </c>
      <c r="C118" s="116">
        <v>72545</v>
      </c>
      <c r="D118" s="214">
        <v>0.12363447315736709</v>
      </c>
      <c r="E118" s="193"/>
      <c r="F118" s="194"/>
      <c r="G118" s="142"/>
      <c r="H118" s="117"/>
      <c r="I118" s="235"/>
      <c r="J118" s="147">
        <f t="shared" si="3"/>
        <v>0</v>
      </c>
      <c r="K118" s="218">
        <f t="shared" si="2"/>
        <v>0.12363447315736709</v>
      </c>
    </row>
    <row r="119" spans="1:11" x14ac:dyDescent="0.25">
      <c r="A119" s="153" t="s">
        <v>69</v>
      </c>
      <c r="B119" s="152">
        <v>1032.564654</v>
      </c>
      <c r="C119" s="116">
        <v>230.89</v>
      </c>
      <c r="D119" s="214">
        <v>0.22360827392799751</v>
      </c>
      <c r="E119" s="140"/>
      <c r="F119" s="149"/>
      <c r="G119" s="142"/>
      <c r="H119" s="117"/>
      <c r="I119" s="139">
        <v>74</v>
      </c>
      <c r="J119" s="147">
        <f t="shared" si="3"/>
        <v>74</v>
      </c>
      <c r="K119" s="218">
        <f t="shared" si="2"/>
        <v>0.2952744884486429</v>
      </c>
    </row>
    <row r="120" spans="1:11" x14ac:dyDescent="0.25">
      <c r="A120" s="153" t="s">
        <v>228</v>
      </c>
      <c r="B120" s="152">
        <v>17417.87587</v>
      </c>
      <c r="C120" s="116">
        <v>3048.25</v>
      </c>
      <c r="D120" s="214">
        <v>0.17500698838083981</v>
      </c>
      <c r="E120" s="141"/>
      <c r="F120" s="194"/>
      <c r="G120" s="142"/>
      <c r="H120" s="152">
        <v>975.49</v>
      </c>
      <c r="I120" s="235"/>
      <c r="J120" s="147">
        <f t="shared" si="3"/>
        <v>975.49</v>
      </c>
      <c r="K120" s="218">
        <f t="shared" si="2"/>
        <v>0.23101209527680483</v>
      </c>
    </row>
    <row r="121" spans="1:11" x14ac:dyDescent="0.25">
      <c r="A121" s="153" t="s">
        <v>75</v>
      </c>
      <c r="B121" s="152">
        <v>199957.02359999999</v>
      </c>
      <c r="C121" s="116">
        <v>13402.51</v>
      </c>
      <c r="D121" s="214">
        <v>6.7026952885689994E-2</v>
      </c>
      <c r="E121" s="140">
        <v>0.1</v>
      </c>
      <c r="F121" s="192" t="s">
        <v>309</v>
      </c>
      <c r="G121" s="142"/>
      <c r="H121" s="152">
        <v>368</v>
      </c>
      <c r="I121" s="139">
        <v>2894.85</v>
      </c>
      <c r="J121" s="147">
        <f t="shared" si="3"/>
        <v>3262.85</v>
      </c>
      <c r="K121" s="218">
        <f t="shared" si="2"/>
        <v>8.3344709277819048E-2</v>
      </c>
    </row>
    <row r="122" spans="1:11" x14ac:dyDescent="0.25">
      <c r="A122" s="153" t="s">
        <v>144</v>
      </c>
      <c r="B122" s="152">
        <v>231276.13990000001</v>
      </c>
      <c r="C122" s="116">
        <v>38581.96</v>
      </c>
      <c r="D122" s="214">
        <v>0.16682205097630132</v>
      </c>
      <c r="E122" s="193"/>
      <c r="F122" s="194"/>
      <c r="G122" s="142"/>
      <c r="H122" s="117"/>
      <c r="I122" s="139">
        <v>500</v>
      </c>
      <c r="J122" s="147">
        <f t="shared" si="3"/>
        <v>500</v>
      </c>
      <c r="K122" s="218">
        <f t="shared" si="2"/>
        <v>0.16898396876088642</v>
      </c>
    </row>
    <row r="123" spans="1:11" x14ac:dyDescent="0.25">
      <c r="A123" s="153" t="s">
        <v>214</v>
      </c>
      <c r="B123" s="152">
        <v>64501.947679999997</v>
      </c>
      <c r="C123" s="116">
        <v>11720.86</v>
      </c>
      <c r="D123" s="214">
        <v>0.18171327256888811</v>
      </c>
      <c r="E123" s="193"/>
      <c r="F123" s="194"/>
      <c r="G123" s="142"/>
      <c r="H123" s="117"/>
      <c r="I123" s="235"/>
      <c r="J123" s="147">
        <f t="shared" si="3"/>
        <v>0</v>
      </c>
      <c r="K123" s="218">
        <f t="shared" si="2"/>
        <v>0.18171327256888811</v>
      </c>
    </row>
    <row r="124" spans="1:11" x14ac:dyDescent="0.25">
      <c r="A124" s="153" t="s">
        <v>187</v>
      </c>
      <c r="B124" s="152">
        <v>10329.04876</v>
      </c>
      <c r="C124" s="116">
        <v>268.27999999999997</v>
      </c>
      <c r="D124" s="214">
        <v>2.5973350134519065E-2</v>
      </c>
      <c r="E124" s="140">
        <v>0.2</v>
      </c>
      <c r="F124" s="192" t="s">
        <v>284</v>
      </c>
      <c r="G124" s="142"/>
      <c r="H124" s="152">
        <f>0.04*B124-C124</f>
        <v>144.88195040000005</v>
      </c>
      <c r="I124" s="235"/>
      <c r="J124" s="147">
        <f t="shared" si="3"/>
        <v>144.88195040000005</v>
      </c>
      <c r="K124" s="218">
        <f t="shared" si="2"/>
        <v>0.04</v>
      </c>
    </row>
    <row r="125" spans="1:11" x14ac:dyDescent="0.25">
      <c r="A125" s="153" t="s">
        <v>146</v>
      </c>
      <c r="B125" s="152">
        <v>30494.993770000001</v>
      </c>
      <c r="C125" s="116">
        <v>79.709999999999994</v>
      </c>
      <c r="D125" s="214">
        <v>2.6138716604171318E-3</v>
      </c>
      <c r="E125" s="141"/>
      <c r="F125" s="149"/>
      <c r="G125" s="142"/>
      <c r="H125" s="152">
        <v>3095.97</v>
      </c>
      <c r="I125" s="235"/>
      <c r="J125" s="147">
        <f t="shared" si="3"/>
        <v>3095.97</v>
      </c>
      <c r="K125" s="218">
        <f t="shared" si="2"/>
        <v>0.10413774877121412</v>
      </c>
    </row>
    <row r="126" spans="1:11" x14ac:dyDescent="0.25">
      <c r="A126" s="153" t="s">
        <v>20</v>
      </c>
      <c r="B126" s="152">
        <v>96634.423989999996</v>
      </c>
      <c r="C126" s="116">
        <v>3914.96</v>
      </c>
      <c r="D126" s="214">
        <v>4.0513099145757119E-2</v>
      </c>
      <c r="E126" s="140">
        <v>0.04</v>
      </c>
      <c r="F126" s="149">
        <f>IF(E126&gt;D126, E126*B126-C126, 0)</f>
        <v>0</v>
      </c>
      <c r="G126" s="142">
        <f>IF(F126&gt;(H126+I126), F126-H126-I126, 0)</f>
        <v>0</v>
      </c>
      <c r="H126" s="152">
        <f>0.1*B126-C126</f>
        <v>5748.4823989999995</v>
      </c>
      <c r="I126" s="235"/>
      <c r="J126" s="147">
        <f t="shared" si="3"/>
        <v>5748.4823989999995</v>
      </c>
      <c r="K126" s="218">
        <f t="shared" si="2"/>
        <v>0.1</v>
      </c>
    </row>
    <row r="127" spans="1:11" x14ac:dyDescent="0.25">
      <c r="A127" s="153" t="s">
        <v>79</v>
      </c>
      <c r="B127" s="152">
        <v>1622615.4310000001</v>
      </c>
      <c r="C127" s="116">
        <v>3437.48</v>
      </c>
      <c r="D127" s="214">
        <v>2.1184810241090331E-3</v>
      </c>
      <c r="E127" s="141"/>
      <c r="F127" s="194"/>
      <c r="G127" s="142"/>
      <c r="H127" s="117"/>
      <c r="I127" s="235"/>
      <c r="J127" s="147">
        <f t="shared" si="3"/>
        <v>0</v>
      </c>
      <c r="K127" s="218">
        <f t="shared" si="2"/>
        <v>2.1184810241090331E-3</v>
      </c>
    </row>
    <row r="128" spans="1:11" x14ac:dyDescent="0.25">
      <c r="A128" s="153" t="s">
        <v>80</v>
      </c>
      <c r="B128" s="152">
        <v>167.06434899999999</v>
      </c>
      <c r="C128" s="116">
        <v>19.940000000000001</v>
      </c>
      <c r="D128" s="214">
        <v>0.11935520725609748</v>
      </c>
      <c r="E128" s="193"/>
      <c r="F128" s="194"/>
      <c r="G128" s="142"/>
      <c r="H128" s="117"/>
      <c r="I128" s="235"/>
      <c r="J128" s="147">
        <f t="shared" si="3"/>
        <v>0</v>
      </c>
      <c r="K128" s="218">
        <f t="shared" si="2"/>
        <v>0.11935520725609748</v>
      </c>
    </row>
    <row r="129" spans="1:11" x14ac:dyDescent="0.25">
      <c r="A129" s="153" t="s">
        <v>51</v>
      </c>
      <c r="B129" s="152">
        <v>64696.515829999997</v>
      </c>
      <c r="C129" s="116">
        <v>11013.35</v>
      </c>
      <c r="D129" s="214">
        <v>0.17023096002479121</v>
      </c>
      <c r="E129" s="141"/>
      <c r="F129" s="149"/>
      <c r="G129" s="142"/>
      <c r="H129" s="117"/>
      <c r="I129" s="235"/>
      <c r="J129" s="147">
        <f t="shared" si="3"/>
        <v>0</v>
      </c>
      <c r="K129" s="218">
        <f t="shared" si="2"/>
        <v>0.17023096002479121</v>
      </c>
    </row>
    <row r="130" spans="1:11" x14ac:dyDescent="0.25">
      <c r="A130" s="153" t="s">
        <v>27</v>
      </c>
      <c r="B130" s="152">
        <v>2603.0815240000002</v>
      </c>
      <c r="C130" s="116">
        <v>1063.95</v>
      </c>
      <c r="D130" s="214">
        <v>0.40872711445667348</v>
      </c>
      <c r="E130" s="141"/>
      <c r="F130" s="149"/>
      <c r="G130" s="142"/>
      <c r="H130" s="117"/>
      <c r="I130" s="235"/>
      <c r="J130" s="147">
        <f t="shared" si="3"/>
        <v>0</v>
      </c>
      <c r="K130" s="218">
        <f t="shared" ref="K130:K194" si="4">(J130+C130)/B130</f>
        <v>0.40872711445667348</v>
      </c>
    </row>
    <row r="131" spans="1:11" x14ac:dyDescent="0.25">
      <c r="A131" s="153" t="s">
        <v>17</v>
      </c>
      <c r="B131" s="152">
        <v>594718.72589999996</v>
      </c>
      <c r="C131" s="116">
        <v>33242</v>
      </c>
      <c r="D131" s="214">
        <v>5.5895330939334735E-2</v>
      </c>
      <c r="E131" s="140">
        <v>0.1</v>
      </c>
      <c r="F131" s="192" t="s">
        <v>292</v>
      </c>
      <c r="G131" s="142"/>
      <c r="H131" s="117"/>
      <c r="I131" s="139">
        <v>2970</v>
      </c>
      <c r="J131" s="147">
        <f t="shared" si="3"/>
        <v>2970</v>
      </c>
      <c r="K131" s="218">
        <f t="shared" si="4"/>
        <v>6.0889288369387805E-2</v>
      </c>
    </row>
    <row r="132" spans="1:11" x14ac:dyDescent="0.25">
      <c r="A132" s="153" t="s">
        <v>89</v>
      </c>
      <c r="B132" s="152">
        <v>118859.7323</v>
      </c>
      <c r="C132" s="116">
        <v>27190.41</v>
      </c>
      <c r="D132" s="214">
        <v>0.22876048493338227</v>
      </c>
      <c r="E132" s="193"/>
      <c r="F132" s="194"/>
      <c r="G132" s="142"/>
      <c r="H132" s="117"/>
      <c r="I132" s="235"/>
      <c r="J132" s="147">
        <f t="shared" ref="J132:J196" si="5">G132+H132+I132</f>
        <v>0</v>
      </c>
      <c r="K132" s="218">
        <f t="shared" si="4"/>
        <v>0.22876048493338227</v>
      </c>
    </row>
    <row r="133" spans="1:11" x14ac:dyDescent="0.25">
      <c r="A133" s="153" t="s">
        <v>123</v>
      </c>
      <c r="B133" s="152">
        <v>331700.57260000001</v>
      </c>
      <c r="C133" s="116">
        <v>63418.879999999997</v>
      </c>
      <c r="D133" s="214">
        <v>0.19119315804280282</v>
      </c>
      <c r="E133" s="140">
        <v>0.2</v>
      </c>
      <c r="F133" s="192" t="s">
        <v>292</v>
      </c>
      <c r="G133" s="142"/>
      <c r="H133" s="117"/>
      <c r="I133" s="235"/>
      <c r="J133" s="147">
        <f t="shared" si="5"/>
        <v>0</v>
      </c>
      <c r="K133" s="218">
        <f t="shared" si="4"/>
        <v>0.19119315804280282</v>
      </c>
    </row>
    <row r="134" spans="1:11" x14ac:dyDescent="0.25">
      <c r="A134" s="153" t="s">
        <v>192</v>
      </c>
      <c r="B134" s="152">
        <v>304.66609499999998</v>
      </c>
      <c r="C134" s="116">
        <v>3.68</v>
      </c>
      <c r="D134" s="214">
        <v>1.207879728133188E-2</v>
      </c>
      <c r="E134" s="141"/>
      <c r="F134" s="194"/>
      <c r="G134" s="142"/>
      <c r="H134" s="117"/>
      <c r="I134" s="235"/>
      <c r="J134" s="147">
        <f t="shared" si="5"/>
        <v>0</v>
      </c>
      <c r="K134" s="218">
        <f t="shared" si="4"/>
        <v>1.207879728133188E-2</v>
      </c>
    </row>
    <row r="135" spans="1:11" x14ac:dyDescent="0.25">
      <c r="A135" s="153" t="s">
        <v>229</v>
      </c>
      <c r="B135" s="152">
        <v>1256684.1140000001</v>
      </c>
      <c r="C135" s="116">
        <v>103445.34</v>
      </c>
      <c r="D135" s="214">
        <v>8.2316103822412126E-2</v>
      </c>
      <c r="E135" s="140">
        <v>0.15</v>
      </c>
      <c r="F135" s="149">
        <f>IF(E135&gt;D135, E135*B135-C135, 0)</f>
        <v>85057.277100000007</v>
      </c>
      <c r="G135" s="142">
        <f>IF(F135&gt;(H135+I135), F135-H135-I135, 0)</f>
        <v>85057.277100000007</v>
      </c>
      <c r="H135" s="117"/>
      <c r="I135" s="235"/>
      <c r="J135" s="147">
        <f t="shared" si="5"/>
        <v>85057.277100000007</v>
      </c>
      <c r="K135" s="218">
        <f t="shared" si="4"/>
        <v>0.15</v>
      </c>
    </row>
    <row r="136" spans="1:11" x14ac:dyDescent="0.25">
      <c r="A136" s="153" t="s">
        <v>66</v>
      </c>
      <c r="B136" s="152">
        <v>324.97046599999999</v>
      </c>
      <c r="C136" s="116">
        <v>98.42</v>
      </c>
      <c r="D136" s="214">
        <v>0.30285829112852369</v>
      </c>
      <c r="E136" s="140">
        <v>0.13</v>
      </c>
      <c r="F136" s="149">
        <f>IF(E136&gt;D136, E136*B136-C136, 0)</f>
        <v>0</v>
      </c>
      <c r="G136" s="142">
        <f>IF(F136&gt;(H136+I136), F136-H136-I136, 0)</f>
        <v>0</v>
      </c>
      <c r="H136" s="117"/>
      <c r="I136" s="235"/>
      <c r="J136" s="147">
        <f t="shared" si="5"/>
        <v>0</v>
      </c>
      <c r="K136" s="218">
        <f t="shared" si="4"/>
        <v>0.30285829112852369</v>
      </c>
    </row>
    <row r="137" spans="1:11" x14ac:dyDescent="0.25">
      <c r="A137" s="153" t="s">
        <v>97</v>
      </c>
      <c r="B137" s="152">
        <v>281.92803500000002</v>
      </c>
      <c r="C137" s="116">
        <v>33.590000000000003</v>
      </c>
      <c r="D137" s="214">
        <v>0.11914388010401307</v>
      </c>
      <c r="E137" s="193"/>
      <c r="F137" s="194"/>
      <c r="G137" s="142"/>
      <c r="H137" s="117"/>
      <c r="I137" s="235"/>
      <c r="J137" s="147">
        <f t="shared" si="5"/>
        <v>0</v>
      </c>
      <c r="K137" s="218">
        <f t="shared" si="4"/>
        <v>0.11914388010401307</v>
      </c>
    </row>
    <row r="138" spans="1:11" x14ac:dyDescent="0.25">
      <c r="A138" s="153" t="s">
        <v>223</v>
      </c>
      <c r="B138" s="152">
        <v>1149.925062</v>
      </c>
      <c r="C138" s="116">
        <v>925.95</v>
      </c>
      <c r="D138" s="214">
        <v>0.80522638439547289</v>
      </c>
      <c r="E138" s="141"/>
      <c r="F138" s="194"/>
      <c r="G138" s="142"/>
      <c r="H138" s="117"/>
      <c r="I138" s="235"/>
      <c r="J138" s="147">
        <f t="shared" si="5"/>
        <v>0</v>
      </c>
      <c r="K138" s="218">
        <f t="shared" si="4"/>
        <v>0.80522638439547289</v>
      </c>
    </row>
    <row r="139" spans="1:11" x14ac:dyDescent="0.25">
      <c r="A139" s="153" t="s">
        <v>136</v>
      </c>
      <c r="B139" s="152">
        <v>1046302.522</v>
      </c>
      <c r="C139" s="116">
        <v>6507.88</v>
      </c>
      <c r="D139" s="214">
        <v>6.2198836982254738E-3</v>
      </c>
      <c r="E139" s="141"/>
      <c r="F139" s="149"/>
      <c r="G139" s="142"/>
      <c r="H139" s="117">
        <v>400</v>
      </c>
      <c r="I139" s="235"/>
      <c r="J139" s="147">
        <f t="shared" si="5"/>
        <v>400</v>
      </c>
      <c r="K139" s="218">
        <f t="shared" si="4"/>
        <v>6.6021823084165326E-3</v>
      </c>
    </row>
    <row r="140" spans="1:11" x14ac:dyDescent="0.25">
      <c r="A140" s="153" t="s">
        <v>74</v>
      </c>
      <c r="B140" s="152">
        <v>2062.481937</v>
      </c>
      <c r="C140" s="116">
        <v>97.46</v>
      </c>
      <c r="D140" s="214">
        <v>4.7253747173059482E-2</v>
      </c>
      <c r="E140" s="140">
        <v>0.16</v>
      </c>
      <c r="F140" s="192" t="s">
        <v>292</v>
      </c>
      <c r="G140" s="142"/>
      <c r="H140" s="152">
        <f>0.1*B140-C140-I140</f>
        <v>106.78819370000001</v>
      </c>
      <c r="I140" s="139">
        <v>2</v>
      </c>
      <c r="J140" s="147">
        <f t="shared" si="5"/>
        <v>108.78819370000001</v>
      </c>
      <c r="K140" s="218">
        <f t="shared" si="4"/>
        <v>0.1</v>
      </c>
    </row>
    <row r="141" spans="1:11" x14ac:dyDescent="0.25">
      <c r="A141" s="153" t="s">
        <v>168</v>
      </c>
      <c r="B141" s="152">
        <v>396.377408</v>
      </c>
      <c r="C141" s="116">
        <v>48.21</v>
      </c>
      <c r="D141" s="214">
        <v>0.12162650803751156</v>
      </c>
      <c r="E141" s="141"/>
      <c r="F141" s="149"/>
      <c r="G141" s="142"/>
      <c r="H141" s="117"/>
      <c r="I141" s="235"/>
      <c r="J141" s="147">
        <f t="shared" si="5"/>
        <v>0</v>
      </c>
      <c r="K141" s="218">
        <f t="shared" si="4"/>
        <v>0.12162650803751156</v>
      </c>
    </row>
    <row r="142" spans="1:11" x14ac:dyDescent="0.25">
      <c r="A142" s="153" t="s">
        <v>2</v>
      </c>
      <c r="B142" s="152">
        <v>1965284.828</v>
      </c>
      <c r="C142" s="116">
        <v>284178</v>
      </c>
      <c r="D142" s="214">
        <v>0.14459888762749865</v>
      </c>
      <c r="E142" s="140">
        <v>0.17</v>
      </c>
      <c r="F142" s="149">
        <f>IF(E142&gt;D142, E142*B142-C142, 0)</f>
        <v>49920.420760000008</v>
      </c>
      <c r="G142" s="142">
        <f>IF(F142&gt;(H142+I142), F142-H142-I142, 0)</f>
        <v>1804.562760000008</v>
      </c>
      <c r="H142" s="152">
        <f>'Priority Actions'!C24</f>
        <v>34415.858</v>
      </c>
      <c r="I142" s="139">
        <v>13700</v>
      </c>
      <c r="J142" s="147">
        <f t="shared" si="5"/>
        <v>49920.420760000008</v>
      </c>
      <c r="K142" s="218">
        <f t="shared" si="4"/>
        <v>0.17</v>
      </c>
    </row>
    <row r="143" spans="1:11" x14ac:dyDescent="0.25">
      <c r="A143" s="153" t="s">
        <v>113</v>
      </c>
      <c r="B143" s="152">
        <v>817.158681</v>
      </c>
      <c r="C143" s="116">
        <v>0.4</v>
      </c>
      <c r="D143" s="214">
        <v>4.8950101039188499E-4</v>
      </c>
      <c r="E143" s="141"/>
      <c r="F143" s="194"/>
      <c r="G143" s="142"/>
      <c r="H143" s="117"/>
      <c r="I143" s="235">
        <v>50</v>
      </c>
      <c r="J143" s="147">
        <f t="shared" si="5"/>
        <v>50</v>
      </c>
      <c r="K143" s="218">
        <f t="shared" si="4"/>
        <v>6.1677127309377501E-2</v>
      </c>
    </row>
    <row r="144" spans="1:11" x14ac:dyDescent="0.25">
      <c r="A144" s="153" t="s">
        <v>87</v>
      </c>
      <c r="B144" s="152">
        <v>1.595194</v>
      </c>
      <c r="C144" s="116">
        <v>0.53</v>
      </c>
      <c r="D144" s="214">
        <v>0.33224798989966114</v>
      </c>
      <c r="E144" s="141"/>
      <c r="F144" s="194"/>
      <c r="G144" s="142"/>
      <c r="H144" s="117"/>
      <c r="I144" s="235"/>
      <c r="J144" s="147">
        <f t="shared" si="5"/>
        <v>0</v>
      </c>
      <c r="K144" s="218">
        <f t="shared" si="4"/>
        <v>0.33224798989966114</v>
      </c>
    </row>
    <row r="145" spans="1:11" x14ac:dyDescent="0.25">
      <c r="A145" s="153" t="s">
        <v>194</v>
      </c>
      <c r="B145" s="152">
        <v>1565864.159</v>
      </c>
      <c r="C145" s="116">
        <v>277375.34000000003</v>
      </c>
      <c r="D145" s="214">
        <v>0.17713882676587914</v>
      </c>
      <c r="E145" s="140">
        <v>0.3</v>
      </c>
      <c r="F145" s="192" t="s">
        <v>292</v>
      </c>
      <c r="G145" s="142"/>
      <c r="H145" s="117">
        <f>0.25*B145-C145-I145</f>
        <v>100022.97974999997</v>
      </c>
      <c r="I145" s="139">
        <v>14067.720000000001</v>
      </c>
      <c r="J145" s="147">
        <f t="shared" si="5"/>
        <v>114090.69974999997</v>
      </c>
      <c r="K145" s="218">
        <f t="shared" si="4"/>
        <v>0.25</v>
      </c>
    </row>
    <row r="146" spans="1:11" x14ac:dyDescent="0.25">
      <c r="A146" s="153" t="s">
        <v>100</v>
      </c>
      <c r="B146" s="152">
        <v>13847.561879999999</v>
      </c>
      <c r="C146" s="116">
        <v>886.34</v>
      </c>
      <c r="D146" s="214">
        <v>6.4006935493831504E-2</v>
      </c>
      <c r="E146" s="140">
        <v>0.17</v>
      </c>
      <c r="F146" s="149">
        <f>IF(E146&gt;D146, E146*B146-C146, 0)</f>
        <v>1467.7455196000001</v>
      </c>
      <c r="G146" s="142">
        <f>IF(F146&gt;(H146+I146), F146-H146-I146, 0)</f>
        <v>0</v>
      </c>
      <c r="H146" s="117">
        <f>0.17*B146-C146</f>
        <v>1467.7455196000001</v>
      </c>
      <c r="I146" s="235"/>
      <c r="J146" s="147">
        <f t="shared" si="5"/>
        <v>1467.7455196000001</v>
      </c>
      <c r="K146" s="218">
        <f t="shared" si="4"/>
        <v>0.17</v>
      </c>
    </row>
    <row r="147" spans="1:11" x14ac:dyDescent="0.25">
      <c r="A147" s="153" t="s">
        <v>99</v>
      </c>
      <c r="B147" s="152">
        <v>100.66438100000001</v>
      </c>
      <c r="C147" s="116">
        <v>11.18</v>
      </c>
      <c r="D147" s="214">
        <v>0.11106212434763792</v>
      </c>
      <c r="E147" s="193"/>
      <c r="F147" s="194"/>
      <c r="G147" s="142"/>
      <c r="H147" s="117"/>
      <c r="I147" s="235"/>
      <c r="J147" s="147">
        <f t="shared" si="5"/>
        <v>0</v>
      </c>
      <c r="K147" s="218">
        <f t="shared" si="4"/>
        <v>0.11106212434763792</v>
      </c>
    </row>
    <row r="148" spans="1:11" x14ac:dyDescent="0.25">
      <c r="A148" s="153" t="s">
        <v>46</v>
      </c>
      <c r="B148" s="152">
        <v>407280.495</v>
      </c>
      <c r="C148" s="116">
        <v>125351.17</v>
      </c>
      <c r="D148" s="214">
        <v>0.30777602055310799</v>
      </c>
      <c r="E148" s="140">
        <v>0.17</v>
      </c>
      <c r="F148" s="149">
        <f>IF(E148&gt;D148, E148*B148-C148, 0)</f>
        <v>0</v>
      </c>
      <c r="G148" s="142">
        <f>IF(F148&gt;(H148+I148), F148-H148-I148, 0)</f>
        <v>0</v>
      </c>
      <c r="H148" s="117">
        <v>25000</v>
      </c>
      <c r="I148" s="235"/>
      <c r="J148" s="147">
        <f t="shared" si="5"/>
        <v>25000</v>
      </c>
      <c r="K148" s="218">
        <f t="shared" si="4"/>
        <v>0.36915877839914724</v>
      </c>
    </row>
    <row r="149" spans="1:11" x14ac:dyDescent="0.25">
      <c r="A149" s="153" t="s">
        <v>7</v>
      </c>
      <c r="B149" s="152">
        <v>791081.87309999997</v>
      </c>
      <c r="C149" s="116">
        <v>170662</v>
      </c>
      <c r="D149" s="214">
        <v>0.21573241127524453</v>
      </c>
      <c r="E149" s="193"/>
      <c r="F149" s="194"/>
      <c r="G149" s="142"/>
      <c r="H149" s="117"/>
      <c r="I149" s="139">
        <v>1310</v>
      </c>
      <c r="J149" s="147">
        <f t="shared" si="5"/>
        <v>1310</v>
      </c>
      <c r="K149" s="218">
        <f t="shared" si="4"/>
        <v>0.21738837135288672</v>
      </c>
    </row>
    <row r="150" spans="1:11" x14ac:dyDescent="0.25">
      <c r="A150" s="153" t="s">
        <v>32</v>
      </c>
      <c r="B150" s="152">
        <v>673078.56759999995</v>
      </c>
      <c r="C150" s="116">
        <v>42878.48</v>
      </c>
      <c r="D150" s="214">
        <v>6.3705014635798085E-2</v>
      </c>
      <c r="E150" s="140">
        <v>0.08</v>
      </c>
      <c r="F150" s="149">
        <f>IF(E150&gt;D150, E150*B150-C150, 0)</f>
        <v>10967.805407999993</v>
      </c>
      <c r="G150" s="142">
        <f>IF(F150&gt;(H150+I150), F150-H150-I150, 0)</f>
        <v>0</v>
      </c>
      <c r="H150" s="117">
        <v>7380.28</v>
      </c>
      <c r="I150" s="139">
        <v>32814.31</v>
      </c>
      <c r="J150" s="147">
        <f t="shared" si="5"/>
        <v>40194.589999999997</v>
      </c>
      <c r="K150" s="218">
        <f t="shared" si="4"/>
        <v>0.12342254529989585</v>
      </c>
    </row>
    <row r="151" spans="1:11" x14ac:dyDescent="0.25">
      <c r="A151" s="153" t="s">
        <v>54</v>
      </c>
      <c r="B151" s="152">
        <v>827465.43389999995</v>
      </c>
      <c r="C151" s="116">
        <v>313534.36</v>
      </c>
      <c r="D151" s="214">
        <v>0.37890931409938622</v>
      </c>
      <c r="E151" s="193"/>
      <c r="F151" s="194"/>
      <c r="G151" s="142"/>
      <c r="H151" s="117"/>
      <c r="I151" s="235"/>
      <c r="J151" s="147">
        <f t="shared" si="5"/>
        <v>0</v>
      </c>
      <c r="K151" s="218">
        <f t="shared" si="4"/>
        <v>0.37890931409938622</v>
      </c>
    </row>
    <row r="152" spans="1:11" x14ac:dyDescent="0.25">
      <c r="A152" s="153" t="s">
        <v>156</v>
      </c>
      <c r="B152" s="152">
        <v>23</v>
      </c>
      <c r="C152" s="116">
        <v>0</v>
      </c>
      <c r="D152" s="214">
        <v>0</v>
      </c>
      <c r="E152" s="140">
        <v>0.3</v>
      </c>
      <c r="F152" s="192" t="s">
        <v>292</v>
      </c>
      <c r="G152" s="142"/>
      <c r="H152" s="117"/>
      <c r="I152" s="235"/>
      <c r="J152" s="147">
        <f t="shared" si="5"/>
        <v>0</v>
      </c>
      <c r="K152" s="218">
        <f t="shared" si="4"/>
        <v>0</v>
      </c>
    </row>
    <row r="153" spans="1:11" x14ac:dyDescent="0.25">
      <c r="A153" s="153" t="s">
        <v>35</v>
      </c>
      <c r="B153" s="152">
        <v>147709.54190000001</v>
      </c>
      <c r="C153" s="116">
        <v>34897.919999999998</v>
      </c>
      <c r="D153" s="214">
        <v>0.23626043078263717</v>
      </c>
      <c r="E153" s="193"/>
      <c r="F153" s="194"/>
      <c r="G153" s="142"/>
      <c r="H153" s="117"/>
      <c r="I153" s="235"/>
      <c r="J153" s="147">
        <f t="shared" si="5"/>
        <v>0</v>
      </c>
      <c r="K153" s="218">
        <f t="shared" si="4"/>
        <v>0.23626043078263717</v>
      </c>
    </row>
    <row r="154" spans="1:11" x14ac:dyDescent="0.25">
      <c r="A154" s="153" t="s">
        <v>210</v>
      </c>
      <c r="B154" s="152">
        <v>35205.611819999998</v>
      </c>
      <c r="C154" s="116">
        <v>3958.43</v>
      </c>
      <c r="D154" s="214">
        <v>0.1124374721916138</v>
      </c>
      <c r="E154" s="141"/>
      <c r="F154" s="194"/>
      <c r="G154" s="142"/>
      <c r="H154" s="117"/>
      <c r="I154" s="235"/>
      <c r="J154" s="147">
        <f t="shared" si="5"/>
        <v>0</v>
      </c>
      <c r="K154" s="218">
        <f t="shared" si="4"/>
        <v>0.1124374721916138</v>
      </c>
    </row>
    <row r="155" spans="1:11" x14ac:dyDescent="0.25">
      <c r="A155" s="153" t="s">
        <v>219</v>
      </c>
      <c r="B155" s="152">
        <v>19141.031709999999</v>
      </c>
      <c r="C155" s="116">
        <v>10414</v>
      </c>
      <c r="D155" s="214">
        <v>0.54406680673118224</v>
      </c>
      <c r="E155" s="141"/>
      <c r="F155" s="149"/>
      <c r="G155" s="142"/>
      <c r="H155" s="117"/>
      <c r="I155" s="235"/>
      <c r="J155" s="147">
        <f t="shared" si="5"/>
        <v>0</v>
      </c>
      <c r="K155" s="218">
        <f t="shared" si="4"/>
        <v>0.54406680673118224</v>
      </c>
    </row>
    <row r="156" spans="1:11" x14ac:dyDescent="0.25">
      <c r="A156" s="153" t="s">
        <v>130</v>
      </c>
      <c r="B156" s="152">
        <v>269651.67050000001</v>
      </c>
      <c r="C156" s="116">
        <v>88464</v>
      </c>
      <c r="D156" s="214">
        <v>0.32806768760588856</v>
      </c>
      <c r="E156" s="193"/>
      <c r="F156" s="194"/>
      <c r="G156" s="142"/>
      <c r="H156" s="117"/>
      <c r="I156" s="235"/>
      <c r="J156" s="147">
        <f t="shared" si="5"/>
        <v>0</v>
      </c>
      <c r="K156" s="218">
        <f t="shared" si="4"/>
        <v>0.32806768760588856</v>
      </c>
    </row>
    <row r="157" spans="1:11" x14ac:dyDescent="0.25">
      <c r="A157" s="153" t="s">
        <v>140</v>
      </c>
      <c r="B157" s="152">
        <v>129222.31269999999</v>
      </c>
      <c r="C157" s="116">
        <v>48104.13</v>
      </c>
      <c r="D157" s="214">
        <v>0.37225869894216806</v>
      </c>
      <c r="E157" s="141"/>
      <c r="F157" s="149"/>
      <c r="G157" s="142"/>
      <c r="H157" s="117"/>
      <c r="I157" s="235"/>
      <c r="J157" s="147">
        <f t="shared" si="5"/>
        <v>0</v>
      </c>
      <c r="K157" s="218">
        <f t="shared" si="4"/>
        <v>0.37225869894216806</v>
      </c>
    </row>
    <row r="158" spans="1:11" x14ac:dyDescent="0.25">
      <c r="A158" s="153" t="s">
        <v>82</v>
      </c>
      <c r="B158" s="152">
        <v>1190098.655</v>
      </c>
      <c r="C158" s="116">
        <v>206090.49</v>
      </c>
      <c r="D158" s="214">
        <v>0.17317092926216271</v>
      </c>
      <c r="E158" s="193"/>
      <c r="F158" s="194"/>
      <c r="G158" s="142"/>
      <c r="H158" s="117"/>
      <c r="I158" s="235"/>
      <c r="J158" s="147">
        <f t="shared" si="5"/>
        <v>0</v>
      </c>
      <c r="K158" s="218">
        <f t="shared" si="4"/>
        <v>0.17317092926216271</v>
      </c>
    </row>
    <row r="159" spans="1:11" x14ac:dyDescent="0.25">
      <c r="A159" s="153" t="s">
        <v>161</v>
      </c>
      <c r="B159" s="152">
        <v>914306.11219999997</v>
      </c>
      <c r="C159" s="116">
        <v>127359.03</v>
      </c>
      <c r="D159" s="214">
        <v>0.1392958313420318</v>
      </c>
      <c r="E159" s="141"/>
      <c r="F159" s="194"/>
      <c r="G159" s="142"/>
      <c r="H159" s="117">
        <v>374</v>
      </c>
      <c r="I159" s="235"/>
      <c r="J159" s="147">
        <f t="shared" si="5"/>
        <v>374</v>
      </c>
      <c r="K159" s="218">
        <f t="shared" si="4"/>
        <v>0.13970488471596154</v>
      </c>
    </row>
    <row r="160" spans="1:11" x14ac:dyDescent="0.25">
      <c r="A160" s="153" t="s">
        <v>101</v>
      </c>
      <c r="B160" s="152">
        <v>267.75552699999997</v>
      </c>
      <c r="C160" s="116">
        <v>53.43</v>
      </c>
      <c r="D160" s="214">
        <v>0.19954770158675381</v>
      </c>
      <c r="E160" s="141" t="s">
        <v>457</v>
      </c>
      <c r="F160" s="149">
        <v>25.5</v>
      </c>
      <c r="G160" s="142">
        <f>IF(F160&gt;(H160+I160), F160-H160-I160, 0)</f>
        <v>0</v>
      </c>
      <c r="H160" s="117"/>
      <c r="I160" s="139">
        <v>25.5</v>
      </c>
      <c r="J160" s="147">
        <f t="shared" si="5"/>
        <v>25.5</v>
      </c>
      <c r="K160" s="218">
        <f t="shared" si="4"/>
        <v>0.29478383092349769</v>
      </c>
    </row>
    <row r="161" spans="1:11" x14ac:dyDescent="0.25">
      <c r="A161" s="153" t="s">
        <v>108</v>
      </c>
      <c r="B161" s="152">
        <v>42.778965999999997</v>
      </c>
      <c r="C161" s="116">
        <v>19.96</v>
      </c>
      <c r="D161" s="214">
        <v>0.46658444245707115</v>
      </c>
      <c r="E161" s="193"/>
      <c r="F161" s="194"/>
      <c r="G161" s="142"/>
      <c r="H161" s="117"/>
      <c r="I161" s="235"/>
      <c r="J161" s="147">
        <f t="shared" si="5"/>
        <v>0</v>
      </c>
      <c r="K161" s="218">
        <f t="shared" si="4"/>
        <v>0.46658444245707115</v>
      </c>
    </row>
    <row r="162" spans="1:11" x14ac:dyDescent="0.25">
      <c r="A162" s="153" t="s">
        <v>170</v>
      </c>
      <c r="B162" s="152">
        <v>501.22405900000001</v>
      </c>
      <c r="C162" s="116">
        <v>38.44</v>
      </c>
      <c r="D162" s="214">
        <v>7.6692248326411638E-2</v>
      </c>
      <c r="E162" s="193"/>
      <c r="F162" s="194"/>
      <c r="G162" s="142"/>
      <c r="H162" s="117"/>
      <c r="I162" s="235"/>
      <c r="J162" s="147">
        <f t="shared" si="5"/>
        <v>0</v>
      </c>
      <c r="K162" s="218">
        <f t="shared" si="4"/>
        <v>7.6692248326411638E-2</v>
      </c>
    </row>
    <row r="163" spans="1:11" x14ac:dyDescent="0.25">
      <c r="A163" s="153" t="s">
        <v>37</v>
      </c>
      <c r="B163" s="152">
        <v>325287.81559999997</v>
      </c>
      <c r="C163" s="116">
        <v>55645.34</v>
      </c>
      <c r="D163" s="214">
        <v>0.17106493797611522</v>
      </c>
      <c r="E163" s="193"/>
      <c r="F163" s="194"/>
      <c r="G163" s="142"/>
      <c r="H163" s="117"/>
      <c r="I163" s="235"/>
      <c r="J163" s="147">
        <f t="shared" si="5"/>
        <v>0</v>
      </c>
      <c r="K163" s="218">
        <f t="shared" si="4"/>
        <v>0.17106493797611522</v>
      </c>
    </row>
    <row r="164" spans="1:11" x14ac:dyDescent="0.25">
      <c r="A164" s="153" t="s">
        <v>202</v>
      </c>
      <c r="B164" s="152">
        <v>310373.14289999998</v>
      </c>
      <c r="C164" s="116">
        <v>7985.07</v>
      </c>
      <c r="D164" s="214">
        <v>2.5727322684529867E-2</v>
      </c>
      <c r="E164" s="193"/>
      <c r="F164" s="194"/>
      <c r="G164" s="142"/>
      <c r="H164" s="117"/>
      <c r="I164" s="235"/>
      <c r="J164" s="147">
        <f t="shared" si="5"/>
        <v>0</v>
      </c>
      <c r="K164" s="218">
        <f t="shared" si="4"/>
        <v>2.5727322684529867E-2</v>
      </c>
    </row>
    <row r="165" spans="1:11" x14ac:dyDescent="0.25">
      <c r="A165" s="153" t="s">
        <v>162</v>
      </c>
      <c r="B165" s="152">
        <v>798143.65419999999</v>
      </c>
      <c r="C165" s="116">
        <v>98288.08</v>
      </c>
      <c r="D165" s="214">
        <v>0.12314585160551916</v>
      </c>
      <c r="E165" s="140">
        <v>0.17</v>
      </c>
      <c r="F165" s="149">
        <f>IF(E165&gt;D165, E165*B165-C165, 0)</f>
        <v>37396.341214</v>
      </c>
      <c r="G165" s="142">
        <f>IF(F165&gt;(H165+I165), F165-H165-I165, 0)</f>
        <v>37196.341214</v>
      </c>
      <c r="H165" s="117"/>
      <c r="I165" s="139">
        <v>200</v>
      </c>
      <c r="J165" s="147">
        <f t="shared" si="5"/>
        <v>37396.341214</v>
      </c>
      <c r="K165" s="218">
        <f t="shared" si="4"/>
        <v>0.17</v>
      </c>
    </row>
    <row r="166" spans="1:11" x14ac:dyDescent="0.25">
      <c r="A166" s="153" t="s">
        <v>58</v>
      </c>
      <c r="B166" s="152">
        <v>501.10138599999999</v>
      </c>
      <c r="C166" s="116">
        <v>140.31</v>
      </c>
      <c r="D166" s="214">
        <v>0.28000321675422385</v>
      </c>
      <c r="E166" s="140">
        <v>0.2</v>
      </c>
      <c r="F166" s="149">
        <f>IF(E166&gt;D166, E166*B166-C166, 0)</f>
        <v>0</v>
      </c>
      <c r="G166" s="142">
        <f>IF(F166&gt;(H166+I166), F166-H166-I166, 0)</f>
        <v>0</v>
      </c>
      <c r="H166" s="117"/>
      <c r="I166" s="139">
        <v>2.2999999999999998</v>
      </c>
      <c r="J166" s="147">
        <f t="shared" si="5"/>
        <v>2.2999999999999998</v>
      </c>
      <c r="K166" s="218">
        <f t="shared" si="4"/>
        <v>0.28459310627410639</v>
      </c>
    </row>
    <row r="167" spans="1:11" x14ac:dyDescent="0.25">
      <c r="A167" s="153" t="s">
        <v>149</v>
      </c>
      <c r="B167" s="152">
        <v>75497.946209999995</v>
      </c>
      <c r="C167" s="116">
        <v>15772.99</v>
      </c>
      <c r="D167" s="214">
        <v>0.20891945796945144</v>
      </c>
      <c r="E167" s="193"/>
      <c r="F167" s="194"/>
      <c r="G167" s="142"/>
      <c r="H167" s="117"/>
      <c r="I167" s="235"/>
      <c r="J167" s="147">
        <f t="shared" si="5"/>
        <v>0</v>
      </c>
      <c r="K167" s="218">
        <f t="shared" si="4"/>
        <v>0.20891945796945144</v>
      </c>
    </row>
    <row r="168" spans="1:11" x14ac:dyDescent="0.25">
      <c r="A168" s="153" t="s">
        <v>193</v>
      </c>
      <c r="B168" s="152">
        <v>467405.9203</v>
      </c>
      <c r="C168" s="116">
        <v>14330.34</v>
      </c>
      <c r="D168" s="214">
        <v>3.0659303568089616E-2</v>
      </c>
      <c r="E168" s="141"/>
      <c r="F168" s="149"/>
      <c r="G168" s="142"/>
      <c r="H168" s="117"/>
      <c r="I168" s="139">
        <v>2550</v>
      </c>
      <c r="J168" s="147">
        <f t="shared" si="5"/>
        <v>2550</v>
      </c>
      <c r="K168" s="218">
        <f t="shared" si="4"/>
        <v>3.6114946916302466E-2</v>
      </c>
    </row>
    <row r="169" spans="1:11" x14ac:dyDescent="0.25">
      <c r="A169" s="153" t="s">
        <v>175</v>
      </c>
      <c r="B169" s="152">
        <v>401498.42349999998</v>
      </c>
      <c r="C169" s="116">
        <v>57473</v>
      </c>
      <c r="D169" s="214">
        <v>0.14314626567892366</v>
      </c>
      <c r="E169" s="140">
        <v>0.17</v>
      </c>
      <c r="F169" s="149">
        <f>IF(E169&gt;D169, E169*B169-C169, 0)</f>
        <v>10781.731994999995</v>
      </c>
      <c r="G169" s="142">
        <f>IF(F169&gt;(H169+I169), F169-H169-I169, 0)</f>
        <v>10781.731994999995</v>
      </c>
      <c r="H169" s="117"/>
      <c r="I169" s="235"/>
      <c r="J169" s="147">
        <f t="shared" si="5"/>
        <v>10781.731994999995</v>
      </c>
      <c r="K169" s="218">
        <f t="shared" si="4"/>
        <v>0.16999999999999998</v>
      </c>
    </row>
    <row r="170" spans="1:11" x14ac:dyDescent="0.25">
      <c r="A170" s="153" t="s">
        <v>242</v>
      </c>
      <c r="B170" s="152">
        <v>1298537.0379999999</v>
      </c>
      <c r="C170" s="116">
        <v>276773</v>
      </c>
      <c r="D170" s="214">
        <v>0.21314216837918182</v>
      </c>
      <c r="E170" s="140">
        <v>0.14000000000000001</v>
      </c>
      <c r="F170" s="149">
        <f>IF(E170&gt;D170, E170*B170-C170, 0)</f>
        <v>0</v>
      </c>
      <c r="G170" s="142">
        <f>IF(F170&gt;(H170+I170), F170-H170-I170, 0)</f>
        <v>0</v>
      </c>
      <c r="H170" s="117"/>
      <c r="I170" s="139">
        <v>1210</v>
      </c>
      <c r="J170" s="147">
        <f t="shared" si="5"/>
        <v>1210</v>
      </c>
      <c r="K170" s="218">
        <f t="shared" si="4"/>
        <v>0.21407398623619392</v>
      </c>
    </row>
    <row r="171" spans="1:11" x14ac:dyDescent="0.25">
      <c r="A171" s="153" t="s">
        <v>53</v>
      </c>
      <c r="B171" s="152">
        <v>298774.90460000001</v>
      </c>
      <c r="C171" s="116">
        <v>45762.33</v>
      </c>
      <c r="D171" s="214">
        <v>0.1531665789041641</v>
      </c>
      <c r="E171" s="141"/>
      <c r="F171" s="149"/>
      <c r="G171" s="142"/>
      <c r="H171" s="117">
        <v>4000</v>
      </c>
      <c r="I171" s="139">
        <v>1000</v>
      </c>
      <c r="J171" s="147">
        <f t="shared" si="5"/>
        <v>5000</v>
      </c>
      <c r="K171" s="218">
        <f t="shared" si="4"/>
        <v>0.16990158550284079</v>
      </c>
    </row>
    <row r="172" spans="1:11" x14ac:dyDescent="0.25">
      <c r="A172" s="153" t="s">
        <v>64</v>
      </c>
      <c r="B172" s="152">
        <v>45.589942999999998</v>
      </c>
      <c r="C172" s="116">
        <v>37.04</v>
      </c>
      <c r="D172" s="214">
        <v>0.81245988835739502</v>
      </c>
      <c r="E172" s="193"/>
      <c r="F172" s="194"/>
      <c r="G172" s="142"/>
      <c r="H172" s="117"/>
      <c r="I172" s="235"/>
      <c r="J172" s="147">
        <f t="shared" si="5"/>
        <v>0</v>
      </c>
      <c r="K172" s="218">
        <f t="shared" si="4"/>
        <v>0.81245988835739502</v>
      </c>
    </row>
    <row r="173" spans="1:11" x14ac:dyDescent="0.25">
      <c r="A173" s="153" t="s">
        <v>222</v>
      </c>
      <c r="B173" s="152">
        <v>311923.51909999998</v>
      </c>
      <c r="C173" s="116">
        <v>123678.11</v>
      </c>
      <c r="D173" s="214">
        <v>0.39650139353663122</v>
      </c>
      <c r="E173" s="193"/>
      <c r="F173" s="194"/>
      <c r="G173" s="142"/>
      <c r="H173" s="117"/>
      <c r="I173" s="235"/>
      <c r="J173" s="147">
        <f t="shared" si="5"/>
        <v>0</v>
      </c>
      <c r="K173" s="218">
        <f t="shared" si="4"/>
        <v>0.39650139353663122</v>
      </c>
    </row>
    <row r="174" spans="1:11" x14ac:dyDescent="0.25">
      <c r="A174" s="153" t="s">
        <v>221</v>
      </c>
      <c r="B174" s="152">
        <v>92141.094729999997</v>
      </c>
      <c r="C174" s="116">
        <v>21101.4</v>
      </c>
      <c r="D174" s="214">
        <v>0.22901182216071117</v>
      </c>
      <c r="E174" s="193"/>
      <c r="F174" s="194"/>
      <c r="G174" s="142"/>
      <c r="H174" s="117"/>
      <c r="I174" s="235"/>
      <c r="J174" s="147">
        <f t="shared" si="5"/>
        <v>0</v>
      </c>
      <c r="K174" s="218">
        <f t="shared" si="4"/>
        <v>0.22901182216071117</v>
      </c>
    </row>
    <row r="175" spans="1:11" x14ac:dyDescent="0.25">
      <c r="A175" s="153" t="s">
        <v>128</v>
      </c>
      <c r="B175" s="152">
        <v>9041.1429399999997</v>
      </c>
      <c r="C175" s="116">
        <v>657.22</v>
      </c>
      <c r="D175" s="214">
        <v>7.2692136863837714E-2</v>
      </c>
      <c r="E175" s="141"/>
      <c r="F175" s="194"/>
      <c r="G175" s="142"/>
      <c r="H175" s="117"/>
      <c r="I175" s="235"/>
      <c r="J175" s="147">
        <f t="shared" si="5"/>
        <v>0</v>
      </c>
      <c r="K175" s="218">
        <f t="shared" si="4"/>
        <v>7.2692136863837714E-2</v>
      </c>
    </row>
    <row r="176" spans="1:11" x14ac:dyDescent="0.25">
      <c r="A176" s="153" t="s">
        <v>163</v>
      </c>
      <c r="B176" s="152">
        <v>11435.552739999999</v>
      </c>
      <c r="C176" s="116">
        <v>1512.84</v>
      </c>
      <c r="D176" s="214">
        <v>0.13229268706079178</v>
      </c>
      <c r="E176" s="193"/>
      <c r="F176" s="194"/>
      <c r="G176" s="142"/>
      <c r="H176" s="117"/>
      <c r="I176" s="235"/>
      <c r="J176" s="147">
        <f t="shared" si="5"/>
        <v>0</v>
      </c>
      <c r="K176" s="218">
        <f t="shared" si="4"/>
        <v>0.13229268706079178</v>
      </c>
    </row>
    <row r="177" spans="1:11" x14ac:dyDescent="0.25">
      <c r="A177" s="153" t="s">
        <v>15</v>
      </c>
      <c r="B177" s="152">
        <v>99712.883759999997</v>
      </c>
      <c r="C177" s="116">
        <v>11638</v>
      </c>
      <c r="D177" s="214">
        <v>0.11671510802968678</v>
      </c>
      <c r="E177" s="140">
        <v>0.17</v>
      </c>
      <c r="F177" s="149">
        <f>IF(E177&gt;D177, E177*B177-C177, 0)</f>
        <v>5313.1902392000011</v>
      </c>
      <c r="G177" s="142">
        <f>IF(F177&gt;(H177+I177), F177-H177-I177, 0)</f>
        <v>5313.1902392000011</v>
      </c>
      <c r="H177" s="117"/>
      <c r="I177" s="235"/>
      <c r="J177" s="147">
        <f t="shared" si="5"/>
        <v>5313.1902392000011</v>
      </c>
      <c r="K177" s="218">
        <f t="shared" si="4"/>
        <v>0.17</v>
      </c>
    </row>
    <row r="178" spans="1:11" x14ac:dyDescent="0.25">
      <c r="A178" s="153" t="s">
        <v>107</v>
      </c>
      <c r="B178" s="152">
        <v>33963.761610000001</v>
      </c>
      <c r="C178" s="116">
        <v>1409.68</v>
      </c>
      <c r="D178" s="214">
        <v>4.1505414393938803E-2</v>
      </c>
      <c r="E178" s="140">
        <v>0.08</v>
      </c>
      <c r="F178" s="149">
        <f>IF(E178&gt;D178, E178*B178-C178, 0)</f>
        <v>1307.4209288</v>
      </c>
      <c r="G178" s="142">
        <f>IF(F178&gt;(H178+I178), F178-H178-I178, 0)</f>
        <v>0</v>
      </c>
      <c r="H178" s="117">
        <f>0.08*B178-C178</f>
        <v>1307.4209288</v>
      </c>
      <c r="I178" s="235"/>
      <c r="J178" s="147">
        <f t="shared" si="5"/>
        <v>1307.4209288</v>
      </c>
      <c r="K178" s="218">
        <f t="shared" si="4"/>
        <v>0.08</v>
      </c>
    </row>
    <row r="179" spans="1:11" x14ac:dyDescent="0.25">
      <c r="A179" t="s">
        <v>511</v>
      </c>
      <c r="B179" s="152">
        <v>25443.14057</v>
      </c>
      <c r="C179" s="116">
        <v>2456.3000000000002</v>
      </c>
      <c r="D179" s="214">
        <v>9.6540754992181385E-2</v>
      </c>
      <c r="E179" s="140">
        <v>0.12</v>
      </c>
      <c r="F179" s="149">
        <f>IF(E179&gt;D179, E179*B179-C179, 0)</f>
        <v>596.87686839999969</v>
      </c>
      <c r="G179" s="142">
        <f>IF(F179&gt;(H179+I179), F179-H179-I179, 0)</f>
        <v>0</v>
      </c>
      <c r="H179" s="117"/>
      <c r="I179" s="139">
        <v>763.29421709999997</v>
      </c>
      <c r="J179" s="147">
        <f>G179+H179+I179</f>
        <v>763.29421709999997</v>
      </c>
      <c r="K179" s="218">
        <f>(J179+C179)/B179</f>
        <v>0.1265407549921814</v>
      </c>
    </row>
    <row r="180" spans="1:11" x14ac:dyDescent="0.25">
      <c r="A180" s="153" t="s">
        <v>78</v>
      </c>
      <c r="B180" s="152">
        <v>2536.304619</v>
      </c>
      <c r="C180" s="116">
        <v>1600.4</v>
      </c>
      <c r="D180" s="214">
        <v>0.63099676119779213</v>
      </c>
      <c r="E180" s="193"/>
      <c r="F180" s="194"/>
      <c r="G180" s="142"/>
      <c r="H180" s="117"/>
      <c r="I180" s="235"/>
      <c r="J180" s="147">
        <f t="shared" si="5"/>
        <v>0</v>
      </c>
      <c r="K180" s="218">
        <f t="shared" si="4"/>
        <v>0.63099676119779213</v>
      </c>
    </row>
    <row r="181" spans="1:11" x14ac:dyDescent="0.25">
      <c r="A181" s="153" t="s">
        <v>36</v>
      </c>
      <c r="B181" s="152">
        <v>237452.87059999999</v>
      </c>
      <c r="C181" s="116">
        <v>58085.41</v>
      </c>
      <c r="D181" s="214">
        <v>0.2446186893981479</v>
      </c>
      <c r="E181" s="193"/>
      <c r="F181" s="194"/>
      <c r="G181" s="142"/>
      <c r="H181" s="117"/>
      <c r="I181" s="235"/>
      <c r="J181" s="147">
        <f t="shared" si="5"/>
        <v>0</v>
      </c>
      <c r="K181" s="218">
        <f t="shared" si="4"/>
        <v>0.2446186893981479</v>
      </c>
    </row>
    <row r="182" spans="1:11" x14ac:dyDescent="0.25">
      <c r="A182" s="153" t="s">
        <v>49</v>
      </c>
      <c r="B182" s="152">
        <v>16874835.52</v>
      </c>
      <c r="C182" s="116">
        <v>1641400.88</v>
      </c>
      <c r="D182" s="214">
        <v>9.7269148375082937E-2</v>
      </c>
      <c r="E182" s="140">
        <v>0.17</v>
      </c>
      <c r="F182" s="149">
        <f>IF(E182&gt;D182, E182*B182-C182, 0)</f>
        <v>1227321.1584000001</v>
      </c>
      <c r="G182" s="142">
        <f>IF(F182&gt;(H182+I182), F182-H182-I182, 0)</f>
        <v>1196321.1584000001</v>
      </c>
      <c r="H182" s="117"/>
      <c r="I182" s="139">
        <v>31000</v>
      </c>
      <c r="J182" s="147">
        <f t="shared" si="5"/>
        <v>1227321.1584000001</v>
      </c>
      <c r="K182" s="218">
        <f t="shared" si="4"/>
        <v>0.17</v>
      </c>
    </row>
    <row r="183" spans="1:11" x14ac:dyDescent="0.25">
      <c r="A183" s="153" t="s">
        <v>42</v>
      </c>
      <c r="B183" s="152">
        <v>25452.130679999998</v>
      </c>
      <c r="C183" s="116">
        <v>2319.73</v>
      </c>
      <c r="D183" s="214">
        <v>9.1140896185277653E-2</v>
      </c>
      <c r="E183" s="195">
        <v>0.10299999999999999</v>
      </c>
      <c r="F183" s="149">
        <f>IF(E183&gt;D183, E183*B183-C183, 0)</f>
        <v>301.83946003999972</v>
      </c>
      <c r="G183" s="142">
        <f>IF(F183&gt;(H183+I183), F183-H183-I183, 0)</f>
        <v>301.83946003999972</v>
      </c>
      <c r="H183" s="117"/>
      <c r="I183" s="235"/>
      <c r="J183" s="147">
        <f t="shared" si="5"/>
        <v>301.83946003999972</v>
      </c>
      <c r="K183" s="218">
        <f t="shared" si="4"/>
        <v>0.10299999999999999</v>
      </c>
    </row>
    <row r="184" spans="1:11" x14ac:dyDescent="0.25">
      <c r="A184" s="153" t="s">
        <v>84</v>
      </c>
      <c r="B184" s="152">
        <v>25.109707</v>
      </c>
      <c r="C184" s="116">
        <v>5.1100000000000003</v>
      </c>
      <c r="D184" s="214">
        <v>0.20350695450169928</v>
      </c>
      <c r="E184" s="141"/>
      <c r="F184" s="149"/>
      <c r="G184" s="142"/>
      <c r="H184" s="117"/>
      <c r="I184" s="235"/>
      <c r="J184" s="147">
        <f t="shared" si="5"/>
        <v>0</v>
      </c>
      <c r="K184" s="218">
        <f t="shared" si="4"/>
        <v>0.20350695450169928</v>
      </c>
    </row>
    <row r="185" spans="1:11" x14ac:dyDescent="0.25">
      <c r="A185" s="153" t="s">
        <v>63</v>
      </c>
      <c r="B185" s="152">
        <v>434.34321399999999</v>
      </c>
      <c r="C185" s="116">
        <v>157.13999999999999</v>
      </c>
      <c r="D185" s="214">
        <v>0.36178762539616882</v>
      </c>
      <c r="E185" s="193"/>
      <c r="F185" s="194"/>
      <c r="G185" s="142"/>
      <c r="H185" s="117"/>
      <c r="I185" s="235"/>
      <c r="J185" s="147">
        <f t="shared" si="5"/>
        <v>0</v>
      </c>
      <c r="K185" s="218">
        <f t="shared" si="4"/>
        <v>0.36178762539616882</v>
      </c>
    </row>
    <row r="186" spans="1:11" x14ac:dyDescent="0.25">
      <c r="A186" s="153" t="s">
        <v>150</v>
      </c>
      <c r="B186" s="152">
        <v>270.82505800000001</v>
      </c>
      <c r="C186" s="116">
        <v>8.98</v>
      </c>
      <c r="D186" s="214">
        <v>3.3157936220214894E-2</v>
      </c>
      <c r="E186" s="141"/>
      <c r="F186" s="149"/>
      <c r="G186" s="142"/>
      <c r="H186" s="117"/>
      <c r="I186" s="139">
        <v>39.4</v>
      </c>
      <c r="J186" s="147">
        <f t="shared" si="5"/>
        <v>39.4</v>
      </c>
      <c r="K186" s="218">
        <f t="shared" si="4"/>
        <v>0.17863930449153637</v>
      </c>
    </row>
    <row r="187" spans="1:11" x14ac:dyDescent="0.25">
      <c r="A187" s="153" t="s">
        <v>105</v>
      </c>
      <c r="B187" s="152">
        <v>622.31113700000003</v>
      </c>
      <c r="C187" s="116">
        <v>116.65</v>
      </c>
      <c r="D187" s="214">
        <v>0.18744642842540032</v>
      </c>
      <c r="E187" s="141"/>
      <c r="F187" s="149"/>
      <c r="G187" s="142"/>
      <c r="H187" s="117"/>
      <c r="I187" s="139">
        <v>40</v>
      </c>
      <c r="J187" s="147">
        <f t="shared" si="5"/>
        <v>40</v>
      </c>
      <c r="K187" s="218">
        <f t="shared" si="4"/>
        <v>0.25172295767543046</v>
      </c>
    </row>
    <row r="188" spans="1:11" x14ac:dyDescent="0.25">
      <c r="A188" s="153" t="s">
        <v>208</v>
      </c>
      <c r="B188" s="152">
        <v>59.578285999999999</v>
      </c>
      <c r="C188" s="116">
        <v>7.61</v>
      </c>
      <c r="D188" s="214">
        <v>0.12773109988427664</v>
      </c>
      <c r="E188" s="193"/>
      <c r="F188" s="194"/>
      <c r="G188" s="142"/>
      <c r="H188" s="117"/>
      <c r="I188" s="235"/>
      <c r="J188" s="147">
        <f t="shared" si="5"/>
        <v>0</v>
      </c>
      <c r="K188" s="218">
        <f t="shared" si="4"/>
        <v>0.12773109988427664</v>
      </c>
    </row>
    <row r="189" spans="1:11" x14ac:dyDescent="0.25">
      <c r="A189" s="153" t="s">
        <v>174</v>
      </c>
      <c r="B189" s="152">
        <v>237.58926700000001</v>
      </c>
      <c r="C189" s="116">
        <v>7.16</v>
      </c>
      <c r="D189" s="214">
        <v>3.0136041456788533E-2</v>
      </c>
      <c r="E189" s="193"/>
      <c r="F189" s="194"/>
      <c r="G189" s="142"/>
      <c r="H189" s="117"/>
      <c r="I189" s="235"/>
      <c r="J189" s="147">
        <f t="shared" si="5"/>
        <v>0</v>
      </c>
      <c r="K189" s="218">
        <f t="shared" si="4"/>
        <v>3.0136041456788533E-2</v>
      </c>
    </row>
    <row r="190" spans="1:11" x14ac:dyDescent="0.25">
      <c r="A190" s="153" t="s">
        <v>155</v>
      </c>
      <c r="B190" s="152">
        <v>409.90656899999999</v>
      </c>
      <c r="C190" s="116">
        <v>91.9</v>
      </c>
      <c r="D190" s="214">
        <v>0.22419743168351131</v>
      </c>
      <c r="E190" s="140">
        <v>0.17</v>
      </c>
      <c r="F190" s="149">
        <f>IF(E190&gt;D190, E190*B190-C190, 0)</f>
        <v>0</v>
      </c>
      <c r="G190" s="142">
        <f>IF(F190&gt;(H190+I190), F190-H190-I190, 0)</f>
        <v>0</v>
      </c>
      <c r="H190" s="117"/>
      <c r="I190" s="139">
        <v>122</v>
      </c>
      <c r="J190" s="147">
        <f t="shared" si="5"/>
        <v>122</v>
      </c>
      <c r="K190" s="218">
        <f t="shared" si="4"/>
        <v>0.52182623108926074</v>
      </c>
    </row>
    <row r="191" spans="1:11" x14ac:dyDescent="0.25">
      <c r="A191" s="153" t="s">
        <v>133</v>
      </c>
      <c r="B191" s="152">
        <v>2893.945283</v>
      </c>
      <c r="C191" s="116">
        <v>212.69</v>
      </c>
      <c r="D191" s="214">
        <v>7.3494824262715683E-2</v>
      </c>
      <c r="E191" s="140">
        <v>0.17</v>
      </c>
      <c r="F191" s="149">
        <f>IF(E191&gt;D191, E191*B191-C191, 0)</f>
        <v>279.28069811000006</v>
      </c>
      <c r="G191" s="142">
        <f>IF(F191&gt;(H191+I191), F191-H191-I191, 0)</f>
        <v>279.28069811000006</v>
      </c>
      <c r="H191" s="117"/>
      <c r="I191" s="235"/>
      <c r="J191" s="147">
        <f t="shared" si="5"/>
        <v>279.28069811000006</v>
      </c>
      <c r="K191" s="218">
        <f t="shared" si="4"/>
        <v>0.17</v>
      </c>
    </row>
    <row r="192" spans="1:11" x14ac:dyDescent="0.25">
      <c r="A192" s="153" t="s">
        <v>157</v>
      </c>
      <c r="B192" s="152">
        <v>61.549522455100004</v>
      </c>
      <c r="C192" s="116">
        <v>0</v>
      </c>
      <c r="D192" s="214">
        <v>0</v>
      </c>
      <c r="E192" s="141"/>
      <c r="F192" s="149"/>
      <c r="G192" s="142"/>
      <c r="H192" s="117"/>
      <c r="I192" s="235"/>
      <c r="J192" s="147">
        <f t="shared" si="5"/>
        <v>0</v>
      </c>
      <c r="K192" s="218">
        <f t="shared" si="4"/>
        <v>0</v>
      </c>
    </row>
    <row r="193" spans="1:11" x14ac:dyDescent="0.25">
      <c r="A193" s="153" t="s">
        <v>198</v>
      </c>
      <c r="B193" s="152">
        <v>989.25988800000005</v>
      </c>
      <c r="C193" s="116">
        <v>289.42</v>
      </c>
      <c r="D193" s="214">
        <v>0.29256215026076143</v>
      </c>
      <c r="E193" s="193"/>
      <c r="F193" s="194"/>
      <c r="G193" s="142"/>
      <c r="H193" s="117"/>
      <c r="I193" s="235"/>
      <c r="J193" s="147">
        <f t="shared" si="5"/>
        <v>0</v>
      </c>
      <c r="K193" s="218">
        <f t="shared" si="4"/>
        <v>0.29256215026076143</v>
      </c>
    </row>
    <row r="194" spans="1:11" x14ac:dyDescent="0.25">
      <c r="A194" s="153" t="s">
        <v>188</v>
      </c>
      <c r="B194" s="152">
        <v>1934058.3389999999</v>
      </c>
      <c r="C194" s="116">
        <v>92063.64</v>
      </c>
      <c r="D194" s="214">
        <v>4.7601273520839746E-2</v>
      </c>
      <c r="E194" s="141"/>
      <c r="F194" s="149"/>
      <c r="G194" s="142"/>
      <c r="H194" s="117">
        <v>99325.170000000027</v>
      </c>
      <c r="I194" s="235"/>
      <c r="J194" s="147">
        <f t="shared" si="5"/>
        <v>99325.170000000027</v>
      </c>
      <c r="K194" s="218">
        <f t="shared" si="4"/>
        <v>9.8957102865344357E-2</v>
      </c>
    </row>
    <row r="195" spans="1:11" x14ac:dyDescent="0.25">
      <c r="A195" s="153" t="s">
        <v>67</v>
      </c>
      <c r="B195" s="152">
        <v>197923.97229999999</v>
      </c>
      <c r="C195" s="116">
        <v>50179.22</v>
      </c>
      <c r="D195" s="214">
        <v>0.25352775319172394</v>
      </c>
      <c r="E195" s="193"/>
      <c r="F195" s="194"/>
      <c r="G195" s="142"/>
      <c r="H195" s="117"/>
      <c r="I195" s="235"/>
      <c r="J195" s="147">
        <f t="shared" si="5"/>
        <v>0</v>
      </c>
      <c r="K195" s="218">
        <f t="shared" ref="K195:K247" si="6">(J195+C195)/B195</f>
        <v>0.25352775319172394</v>
      </c>
    </row>
    <row r="196" spans="1:11" x14ac:dyDescent="0.25">
      <c r="A196" s="153" t="s">
        <v>59</v>
      </c>
      <c r="B196" s="152">
        <v>88509.115139999994</v>
      </c>
      <c r="C196" s="116">
        <v>5853.2</v>
      </c>
      <c r="D196" s="214">
        <v>6.6131041879038718E-2</v>
      </c>
      <c r="E196" s="193"/>
      <c r="F196" s="194"/>
      <c r="G196" s="142"/>
      <c r="H196" s="117"/>
      <c r="I196" s="235"/>
      <c r="J196" s="147">
        <f t="shared" si="5"/>
        <v>0</v>
      </c>
      <c r="K196" s="218">
        <f t="shared" si="6"/>
        <v>6.6131041879038718E-2</v>
      </c>
    </row>
    <row r="197" spans="1:11" x14ac:dyDescent="0.25">
      <c r="A197" s="153" t="s">
        <v>141</v>
      </c>
      <c r="B197" s="152">
        <v>486.864575</v>
      </c>
      <c r="C197" s="116">
        <v>204.94</v>
      </c>
      <c r="D197" s="214">
        <v>0.42093840982371739</v>
      </c>
      <c r="E197" s="140">
        <v>0.5</v>
      </c>
      <c r="F197" s="149">
        <f>IF(E197&gt;D197, E197*B197-C197, 0)</f>
        <v>38.492287500000003</v>
      </c>
      <c r="G197" s="142">
        <f>IF(F197&gt;(H197+I197), F197-H197-I197, 0)</f>
        <v>38.492287500000003</v>
      </c>
      <c r="H197" s="117"/>
      <c r="I197" s="235"/>
      <c r="J197" s="147">
        <f t="shared" ref="J197:J246" si="7">G197+H197+I197</f>
        <v>38.492287500000003</v>
      </c>
      <c r="K197" s="218">
        <f t="shared" si="6"/>
        <v>0.5</v>
      </c>
    </row>
    <row r="198" spans="1:11" x14ac:dyDescent="0.25">
      <c r="A198" s="153" t="s">
        <v>114</v>
      </c>
      <c r="B198" s="152">
        <v>72709.028909999994</v>
      </c>
      <c r="C198" s="116">
        <v>6824.7</v>
      </c>
      <c r="D198" s="214">
        <v>9.3863170809882296E-2</v>
      </c>
      <c r="E198" s="193"/>
      <c r="F198" s="194"/>
      <c r="G198" s="142"/>
      <c r="H198" s="117"/>
      <c r="I198" s="235"/>
      <c r="J198" s="147">
        <f t="shared" si="7"/>
        <v>0</v>
      </c>
      <c r="K198" s="218">
        <f t="shared" si="6"/>
        <v>9.3863170809882296E-2</v>
      </c>
    </row>
    <row r="199" spans="1:11" x14ac:dyDescent="0.25">
      <c r="A199" s="153" t="s">
        <v>94</v>
      </c>
      <c r="B199" s="152">
        <v>604.64612799999998</v>
      </c>
      <c r="C199" s="116">
        <v>33.590000000000003</v>
      </c>
      <c r="D199" s="214">
        <v>5.5553154885993092E-2</v>
      </c>
      <c r="E199" s="193"/>
      <c r="F199" s="194"/>
      <c r="G199" s="142"/>
      <c r="H199" s="117"/>
      <c r="I199" s="235"/>
      <c r="J199" s="147">
        <f t="shared" si="7"/>
        <v>0</v>
      </c>
      <c r="K199" s="218">
        <f t="shared" si="6"/>
        <v>5.5553154885993092E-2</v>
      </c>
    </row>
    <row r="200" spans="1:11" x14ac:dyDescent="0.25">
      <c r="A200" s="153" t="s">
        <v>158</v>
      </c>
      <c r="B200" s="152">
        <v>36.455424000000001</v>
      </c>
      <c r="C200" s="116">
        <v>0</v>
      </c>
      <c r="D200" s="214">
        <v>0</v>
      </c>
      <c r="E200" s="141"/>
      <c r="F200" s="149"/>
      <c r="G200" s="142"/>
      <c r="H200" s="117"/>
      <c r="I200" s="235"/>
      <c r="J200" s="147">
        <f t="shared" si="7"/>
        <v>0</v>
      </c>
      <c r="K200" s="218">
        <f t="shared" si="6"/>
        <v>0</v>
      </c>
    </row>
    <row r="201" spans="1:11" x14ac:dyDescent="0.25">
      <c r="A201" s="153" t="s">
        <v>204</v>
      </c>
      <c r="B201" s="152">
        <v>48941.217429999997</v>
      </c>
      <c r="C201" s="116">
        <v>18416.78</v>
      </c>
      <c r="D201" s="214">
        <v>0.3763040841054125</v>
      </c>
      <c r="E201" s="141"/>
      <c r="F201" s="149"/>
      <c r="G201" s="142"/>
      <c r="H201" s="117"/>
      <c r="I201" s="235"/>
      <c r="J201" s="147">
        <f t="shared" si="7"/>
        <v>0</v>
      </c>
      <c r="K201" s="218">
        <f t="shared" si="6"/>
        <v>0.3763040841054125</v>
      </c>
    </row>
    <row r="202" spans="1:11" x14ac:dyDescent="0.25">
      <c r="A202" s="153" t="s">
        <v>172</v>
      </c>
      <c r="B202" s="152">
        <v>20308.546920000001</v>
      </c>
      <c r="C202" s="116">
        <v>10890.04</v>
      </c>
      <c r="D202" s="214">
        <v>0.53622940345748782</v>
      </c>
      <c r="E202" s="193"/>
      <c r="F202" s="194"/>
      <c r="G202" s="142"/>
      <c r="H202" s="117"/>
      <c r="I202" s="235"/>
      <c r="J202" s="147">
        <f t="shared" si="7"/>
        <v>0</v>
      </c>
      <c r="K202" s="218">
        <f t="shared" si="6"/>
        <v>0.53622940345748782</v>
      </c>
    </row>
    <row r="203" spans="1:11" x14ac:dyDescent="0.25">
      <c r="A203" s="153" t="s">
        <v>182</v>
      </c>
      <c r="B203" s="152">
        <v>29191.645270000001</v>
      </c>
      <c r="C203" s="116">
        <v>645.21</v>
      </c>
      <c r="D203" s="214">
        <v>2.2102556879967185E-2</v>
      </c>
      <c r="E203" s="140">
        <v>0.1</v>
      </c>
      <c r="F203" s="149">
        <f>IF(E203&gt;D203, E203*B203-C203, 0)</f>
        <v>2273.9545270000003</v>
      </c>
      <c r="G203" s="142">
        <f>IF(F203&gt;(H203+I203), F203-H203-I203, 0)</f>
        <v>0</v>
      </c>
      <c r="H203" s="117"/>
      <c r="I203" s="139">
        <v>3000</v>
      </c>
      <c r="J203" s="147">
        <f t="shared" si="7"/>
        <v>3000</v>
      </c>
      <c r="K203" s="218">
        <f t="shared" si="6"/>
        <v>0.12487168730246768</v>
      </c>
    </row>
    <row r="204" spans="1:11" x14ac:dyDescent="0.25">
      <c r="A204" s="153" t="s">
        <v>88</v>
      </c>
      <c r="B204" s="151">
        <v>637991.6</v>
      </c>
      <c r="C204" s="116">
        <v>0</v>
      </c>
      <c r="D204" s="214">
        <v>0</v>
      </c>
      <c r="E204" s="140">
        <v>0.17</v>
      </c>
      <c r="F204" s="192" t="s">
        <v>320</v>
      </c>
      <c r="G204" s="142"/>
      <c r="H204" s="117"/>
      <c r="I204" s="235"/>
      <c r="J204" s="147">
        <f t="shared" si="7"/>
        <v>0</v>
      </c>
      <c r="K204" s="218">
        <f t="shared" si="6"/>
        <v>0</v>
      </c>
    </row>
    <row r="205" spans="1:11" x14ac:dyDescent="0.25">
      <c r="A205" s="153" t="s">
        <v>4</v>
      </c>
      <c r="B205" s="152">
        <v>1224384.577</v>
      </c>
      <c r="C205" s="116">
        <v>97928.3</v>
      </c>
      <c r="D205" s="214">
        <v>7.9981651059297845E-2</v>
      </c>
      <c r="E205" s="195">
        <v>0.13200000000000001</v>
      </c>
      <c r="F205" s="149">
        <f>IF(E205&gt;D205, E205*B205-C205, 0)</f>
        <v>63690.464164000019</v>
      </c>
      <c r="G205" s="142">
        <f>IF(F205&gt;(H205+I205), F205-H205-I205, 0)</f>
        <v>62120.464164000019</v>
      </c>
      <c r="H205" s="117"/>
      <c r="I205" s="139">
        <v>1570</v>
      </c>
      <c r="J205" s="147">
        <f t="shared" si="7"/>
        <v>63690.464164000019</v>
      </c>
      <c r="K205" s="218">
        <f t="shared" si="6"/>
        <v>0.13200000000000001</v>
      </c>
    </row>
    <row r="206" spans="1:11" x14ac:dyDescent="0.25">
      <c r="A206" s="153" t="s">
        <v>112</v>
      </c>
      <c r="B206" s="152">
        <v>3971.6926880000001</v>
      </c>
      <c r="C206" s="116">
        <v>3971.69</v>
      </c>
      <c r="D206" s="214">
        <v>0.99999932321047691</v>
      </c>
      <c r="E206" s="193"/>
      <c r="F206" s="194"/>
      <c r="G206" s="142"/>
      <c r="H206" s="117"/>
      <c r="I206" s="235"/>
      <c r="J206" s="147">
        <f t="shared" si="7"/>
        <v>0</v>
      </c>
      <c r="K206" s="218">
        <f t="shared" si="6"/>
        <v>0.99999932321047691</v>
      </c>
    </row>
    <row r="207" spans="1:11" x14ac:dyDescent="0.25">
      <c r="A207" s="153" t="s">
        <v>83</v>
      </c>
      <c r="B207" s="152">
        <v>633580.4791</v>
      </c>
      <c r="C207" s="116">
        <v>98214.49</v>
      </c>
      <c r="D207" s="214">
        <v>0.15501501899097889</v>
      </c>
      <c r="E207" s="141"/>
      <c r="F207" s="149"/>
      <c r="G207" s="142"/>
      <c r="H207" s="117"/>
      <c r="I207" s="235"/>
      <c r="J207" s="147">
        <f t="shared" si="7"/>
        <v>0</v>
      </c>
      <c r="K207" s="218">
        <f t="shared" si="6"/>
        <v>0.15501501899097889</v>
      </c>
    </row>
    <row r="208" spans="1:11" x14ac:dyDescent="0.25">
      <c r="A208" s="153" t="s">
        <v>31</v>
      </c>
      <c r="B208" s="152">
        <v>507013.40500000003</v>
      </c>
      <c r="C208" s="116">
        <v>142296.51999999999</v>
      </c>
      <c r="D208" s="214">
        <v>0.28065632702551518</v>
      </c>
      <c r="E208" s="141"/>
      <c r="F208" s="149"/>
      <c r="G208" s="142"/>
      <c r="H208" s="117"/>
      <c r="I208" s="235"/>
      <c r="J208" s="147">
        <f t="shared" si="7"/>
        <v>0</v>
      </c>
      <c r="K208" s="218">
        <f t="shared" si="6"/>
        <v>0.28065632702551518</v>
      </c>
    </row>
    <row r="209" spans="1:11" x14ac:dyDescent="0.25">
      <c r="A209" s="153" t="s">
        <v>85</v>
      </c>
      <c r="B209" s="152">
        <v>66631.503370000006</v>
      </c>
      <c r="C209" s="116">
        <v>19897.5</v>
      </c>
      <c r="D209" s="214">
        <v>0.29862000695842922</v>
      </c>
      <c r="E209" s="141"/>
      <c r="F209" s="149"/>
      <c r="G209" s="142"/>
      <c r="H209" s="117"/>
      <c r="I209" s="139">
        <v>3150</v>
      </c>
      <c r="J209" s="147">
        <f t="shared" si="7"/>
        <v>3150</v>
      </c>
      <c r="K209" s="218">
        <f t="shared" si="6"/>
        <v>0.34589494209696681</v>
      </c>
    </row>
    <row r="210" spans="1:11" x14ac:dyDescent="0.25">
      <c r="A210" s="153" t="s">
        <v>29</v>
      </c>
      <c r="B210" s="152">
        <v>6181.9870039999996</v>
      </c>
      <c r="C210" s="116">
        <v>516.77</v>
      </c>
      <c r="D210" s="214">
        <v>8.3592864181957771E-2</v>
      </c>
      <c r="E210" s="193"/>
      <c r="F210" s="194"/>
      <c r="G210" s="142"/>
      <c r="H210" s="117"/>
      <c r="I210" s="235"/>
      <c r="J210" s="147">
        <f t="shared" si="7"/>
        <v>0</v>
      </c>
      <c r="K210" s="218">
        <f t="shared" si="6"/>
        <v>8.3592864181957771E-2</v>
      </c>
    </row>
    <row r="211" spans="1:11" x14ac:dyDescent="0.25">
      <c r="A211" s="153" t="s">
        <v>11</v>
      </c>
      <c r="B211" s="152">
        <v>1871251.8130000001</v>
      </c>
      <c r="C211" s="116">
        <v>42697.53</v>
      </c>
      <c r="D211" s="214">
        <v>2.2817629195264269E-2</v>
      </c>
      <c r="E211" s="140">
        <v>0.17</v>
      </c>
      <c r="F211" s="149">
        <f>IF(E211&gt;D211, E211*B211-C211, 0)</f>
        <v>275415.27821000002</v>
      </c>
      <c r="G211" s="142">
        <f>IF(F211&gt;(H211+I211), F211-H211-I211, 0)</f>
        <v>265835.27821000002</v>
      </c>
      <c r="H211" s="117">
        <v>6000</v>
      </c>
      <c r="I211" s="139">
        <v>3580</v>
      </c>
      <c r="J211" s="147">
        <f t="shared" si="7"/>
        <v>275415.27821000002</v>
      </c>
      <c r="K211" s="218">
        <f t="shared" si="6"/>
        <v>0.17</v>
      </c>
    </row>
    <row r="212" spans="1:11" x14ac:dyDescent="0.25">
      <c r="A212" s="153" t="s">
        <v>111</v>
      </c>
      <c r="B212" s="152">
        <v>147558.44880000001</v>
      </c>
      <c r="C212" s="116">
        <v>21425.69</v>
      </c>
      <c r="D212" s="214">
        <v>0.14520137731347577</v>
      </c>
      <c r="E212" s="193"/>
      <c r="F212" s="194"/>
      <c r="G212" s="142"/>
      <c r="H212" s="117"/>
      <c r="I212" s="235"/>
      <c r="J212" s="147">
        <f t="shared" si="7"/>
        <v>0</v>
      </c>
      <c r="K212" s="218">
        <f t="shared" si="6"/>
        <v>0.14520137731347577</v>
      </c>
    </row>
    <row r="213" spans="1:11" x14ac:dyDescent="0.25">
      <c r="A213" s="153" t="s">
        <v>118</v>
      </c>
      <c r="B213" s="152">
        <v>61261.115519999999</v>
      </c>
      <c r="C213" s="116">
        <v>40091.870000000003</v>
      </c>
      <c r="D213" s="214">
        <v>0.65444237604375899</v>
      </c>
      <c r="E213" s="193"/>
      <c r="F213" s="194"/>
      <c r="G213" s="142"/>
      <c r="H213" s="117"/>
      <c r="I213" s="235"/>
      <c r="J213" s="147">
        <f t="shared" si="7"/>
        <v>0</v>
      </c>
      <c r="K213" s="218">
        <f t="shared" si="6"/>
        <v>0.65444237604375899</v>
      </c>
    </row>
    <row r="214" spans="1:11" x14ac:dyDescent="0.25">
      <c r="A214" s="153" t="s">
        <v>238</v>
      </c>
      <c r="B214" s="152">
        <v>449390.17609999998</v>
      </c>
      <c r="C214" s="116">
        <v>66878.37</v>
      </c>
      <c r="D214" s="214">
        <v>0.14882027591345914</v>
      </c>
      <c r="E214" s="140">
        <v>0.2</v>
      </c>
      <c r="F214" s="149">
        <f>IF(E214&gt;D214, E214*B214-C214, 0)</f>
        <v>22999.66522000001</v>
      </c>
      <c r="G214" s="142">
        <f>IF(F214&gt;(H214+I214), F214-H214-I214, 0)</f>
        <v>22999.66522000001</v>
      </c>
      <c r="H214" s="117"/>
      <c r="I214" s="235"/>
      <c r="J214" s="147">
        <f t="shared" si="7"/>
        <v>22999.66522000001</v>
      </c>
      <c r="K214" s="218">
        <f t="shared" si="6"/>
        <v>0.2</v>
      </c>
    </row>
    <row r="215" spans="1:11" x14ac:dyDescent="0.25">
      <c r="A215" s="153" t="s">
        <v>213</v>
      </c>
      <c r="B215" s="152">
        <v>41355.270219999999</v>
      </c>
      <c r="C215" s="116">
        <v>3997.06</v>
      </c>
      <c r="D215" s="214">
        <v>9.665176841395573E-2</v>
      </c>
      <c r="E215" s="141"/>
      <c r="F215" s="149"/>
      <c r="G215" s="142"/>
      <c r="H215" s="117"/>
      <c r="I215" s="235"/>
      <c r="J215" s="147">
        <f t="shared" si="7"/>
        <v>0</v>
      </c>
      <c r="K215" s="218">
        <f t="shared" si="6"/>
        <v>9.665176841395573E-2</v>
      </c>
    </row>
    <row r="216" spans="1:11" x14ac:dyDescent="0.25">
      <c r="A216" s="153" t="s">
        <v>91</v>
      </c>
      <c r="B216" s="152">
        <v>188612.6151</v>
      </c>
      <c r="C216" s="116">
        <v>1292.57</v>
      </c>
      <c r="D216" s="214">
        <v>6.8530410827223609E-3</v>
      </c>
      <c r="E216" s="193"/>
      <c r="F216" s="194"/>
      <c r="G216" s="142"/>
      <c r="H216" s="117"/>
      <c r="I216" s="235"/>
      <c r="J216" s="147">
        <f t="shared" si="7"/>
        <v>0</v>
      </c>
      <c r="K216" s="218">
        <f t="shared" si="6"/>
        <v>6.8530410827223609E-3</v>
      </c>
    </row>
    <row r="217" spans="1:11" x14ac:dyDescent="0.25">
      <c r="A217" s="153" t="s">
        <v>137</v>
      </c>
      <c r="B217" s="152">
        <v>36245.331189999997</v>
      </c>
      <c r="C217" s="116">
        <v>7145.88</v>
      </c>
      <c r="D217" s="214">
        <v>0.19715311642597244</v>
      </c>
      <c r="E217" s="141"/>
      <c r="F217" s="149"/>
      <c r="G217" s="142"/>
      <c r="H217" s="117"/>
      <c r="I217" s="235"/>
      <c r="J217" s="147">
        <f t="shared" si="7"/>
        <v>0</v>
      </c>
      <c r="K217" s="218">
        <f t="shared" si="6"/>
        <v>0.19715311642597244</v>
      </c>
    </row>
    <row r="218" spans="1:11" x14ac:dyDescent="0.25">
      <c r="A218" s="153" t="s">
        <v>166</v>
      </c>
      <c r="B218" s="152">
        <v>142244.21780000001</v>
      </c>
      <c r="C218" s="116">
        <v>31690.11</v>
      </c>
      <c r="D218" s="214">
        <v>0.22278663055785736</v>
      </c>
      <c r="E218" s="141"/>
      <c r="F218" s="149"/>
      <c r="G218" s="142"/>
      <c r="H218" s="117"/>
      <c r="I218" s="139">
        <v>6600</v>
      </c>
      <c r="J218" s="147">
        <f t="shared" si="7"/>
        <v>6600</v>
      </c>
      <c r="K218" s="218">
        <f t="shared" si="6"/>
        <v>0.26918570464380587</v>
      </c>
    </row>
    <row r="219" spans="1:11" x14ac:dyDescent="0.25">
      <c r="A219" s="153" t="s">
        <v>60</v>
      </c>
      <c r="B219" s="152">
        <v>517786.61249999999</v>
      </c>
      <c r="C219" s="116">
        <v>97391.38</v>
      </c>
      <c r="D219" s="214">
        <v>0.18809173054855682</v>
      </c>
      <c r="E219" s="193"/>
      <c r="F219" s="194"/>
      <c r="G219" s="142"/>
      <c r="H219" s="117"/>
      <c r="I219" s="139">
        <v>130</v>
      </c>
      <c r="J219" s="147">
        <f t="shared" si="7"/>
        <v>130</v>
      </c>
      <c r="K219" s="218">
        <f t="shared" si="6"/>
        <v>0.18834279922600355</v>
      </c>
    </row>
    <row r="220" spans="1:11" x14ac:dyDescent="0.25">
      <c r="A220" s="153" t="s">
        <v>25</v>
      </c>
      <c r="B220" s="152">
        <v>15006.53549</v>
      </c>
      <c r="C220" s="116">
        <v>1959.47</v>
      </c>
      <c r="D220" s="214">
        <v>0.13057444213594432</v>
      </c>
      <c r="E220" s="141"/>
      <c r="F220" s="149"/>
      <c r="G220" s="142"/>
      <c r="H220" s="117"/>
      <c r="I220" s="139">
        <v>592.10500000000002</v>
      </c>
      <c r="J220" s="147">
        <f t="shared" si="7"/>
        <v>592.10500000000002</v>
      </c>
      <c r="K220" s="218">
        <f t="shared" si="6"/>
        <v>0.17003091764253708</v>
      </c>
    </row>
    <row r="221" spans="1:11" x14ac:dyDescent="0.25">
      <c r="A221" s="153" t="s">
        <v>135</v>
      </c>
      <c r="B221" s="152">
        <v>57480.648000000001</v>
      </c>
      <c r="C221" s="116">
        <v>15876.87</v>
      </c>
      <c r="D221" s="214">
        <v>0.27621243935872125</v>
      </c>
      <c r="E221" s="140"/>
      <c r="F221" s="149"/>
      <c r="G221" s="142"/>
      <c r="H221" s="117"/>
      <c r="I221" s="235"/>
      <c r="J221" s="147">
        <f t="shared" si="7"/>
        <v>0</v>
      </c>
      <c r="K221" s="218">
        <f t="shared" si="6"/>
        <v>0.27621243935872125</v>
      </c>
    </row>
    <row r="222" spans="1:11" x14ac:dyDescent="0.25">
      <c r="A222" s="153" t="s">
        <v>153</v>
      </c>
      <c r="B222" s="152">
        <v>15.181307</v>
      </c>
      <c r="C222" s="116">
        <v>1</v>
      </c>
      <c r="D222" s="214">
        <v>6.5870481375549544E-2</v>
      </c>
      <c r="E222" s="193"/>
      <c r="F222" s="194"/>
      <c r="G222" s="142"/>
      <c r="H222" s="117"/>
      <c r="I222" s="235"/>
      <c r="J222" s="147">
        <f t="shared" si="7"/>
        <v>0</v>
      </c>
      <c r="K222" s="218">
        <f t="shared" si="6"/>
        <v>6.5870481375549544E-2</v>
      </c>
    </row>
    <row r="223" spans="1:11" x14ac:dyDescent="0.25">
      <c r="A223" s="153" t="s">
        <v>147</v>
      </c>
      <c r="B223" s="152">
        <v>766.50226499999997</v>
      </c>
      <c r="C223" s="116">
        <v>121.97</v>
      </c>
      <c r="D223" s="214">
        <v>0.15912542672003716</v>
      </c>
      <c r="E223" s="193"/>
      <c r="F223" s="194"/>
      <c r="G223" s="142"/>
      <c r="H223" s="117"/>
      <c r="I223" s="235"/>
      <c r="J223" s="147">
        <f t="shared" si="7"/>
        <v>0</v>
      </c>
      <c r="K223" s="218">
        <f t="shared" si="6"/>
        <v>0.15912542672003716</v>
      </c>
    </row>
    <row r="224" spans="1:11" x14ac:dyDescent="0.25">
      <c r="A224" s="153" t="s">
        <v>132</v>
      </c>
      <c r="B224" s="152">
        <v>5213.1020959999996</v>
      </c>
      <c r="C224" s="116">
        <v>1594.83</v>
      </c>
      <c r="D224" s="214">
        <v>0.30592725226381218</v>
      </c>
      <c r="E224" s="140">
        <v>0.17</v>
      </c>
      <c r="F224" s="149">
        <f>IF(E224&gt;D224, E224*B224-C224, 0)</f>
        <v>0</v>
      </c>
      <c r="G224" s="142">
        <f>IF(F224&gt;(H224+I224), F224-H224-I224, 0)</f>
        <v>0</v>
      </c>
      <c r="H224" s="117"/>
      <c r="I224" s="139">
        <v>350</v>
      </c>
      <c r="J224" s="147">
        <f t="shared" si="7"/>
        <v>350</v>
      </c>
      <c r="K224" s="218">
        <f t="shared" si="6"/>
        <v>0.37306578006447699</v>
      </c>
    </row>
    <row r="225" spans="1:11" x14ac:dyDescent="0.25">
      <c r="A225" s="153" t="s">
        <v>14</v>
      </c>
      <c r="B225" s="152">
        <v>155230.83910000001</v>
      </c>
      <c r="C225" s="116">
        <v>12286.02</v>
      </c>
      <c r="D225" s="214">
        <v>7.9146773097614462E-2</v>
      </c>
      <c r="E225" s="141"/>
      <c r="F225" s="149"/>
      <c r="G225" s="142"/>
      <c r="H225" s="117"/>
      <c r="I225" s="235"/>
      <c r="J225" s="147">
        <f t="shared" si="7"/>
        <v>0</v>
      </c>
      <c r="K225" s="218">
        <f t="shared" si="6"/>
        <v>7.9146773097614462E-2</v>
      </c>
    </row>
    <row r="226" spans="1:11" x14ac:dyDescent="0.25">
      <c r="A226" s="153" t="s">
        <v>165</v>
      </c>
      <c r="B226" s="152">
        <v>782238.87419999996</v>
      </c>
      <c r="C226" s="116">
        <v>1709.1</v>
      </c>
      <c r="D226" s="214">
        <v>2.1848824654079049E-3</v>
      </c>
      <c r="E226" s="193"/>
      <c r="F226" s="194"/>
      <c r="G226" s="142"/>
      <c r="H226" s="117"/>
      <c r="I226" s="139">
        <v>899.6</v>
      </c>
      <c r="J226" s="147">
        <f t="shared" si="7"/>
        <v>899.6</v>
      </c>
      <c r="K226" s="218">
        <f t="shared" si="6"/>
        <v>3.3349148016556091E-3</v>
      </c>
    </row>
    <row r="227" spans="1:11" x14ac:dyDescent="0.25">
      <c r="A227" s="153" t="s">
        <v>185</v>
      </c>
      <c r="B227" s="152">
        <v>472137.54369999998</v>
      </c>
      <c r="C227" s="116">
        <v>15336.27</v>
      </c>
      <c r="D227" s="214">
        <v>3.2482631819139532E-2</v>
      </c>
      <c r="E227" s="141" t="s">
        <v>450</v>
      </c>
      <c r="F227" s="192" t="s">
        <v>284</v>
      </c>
      <c r="G227" s="142"/>
      <c r="H227" s="117"/>
      <c r="I227" s="235"/>
      <c r="J227" s="147">
        <f t="shared" si="7"/>
        <v>0</v>
      </c>
      <c r="K227" s="218">
        <f t="shared" si="6"/>
        <v>3.2482631819139532E-2</v>
      </c>
    </row>
    <row r="228" spans="1:11" x14ac:dyDescent="0.25">
      <c r="A228" s="153" t="s">
        <v>119</v>
      </c>
      <c r="B228" s="152">
        <v>1018.174578</v>
      </c>
      <c r="C228" s="116">
        <v>451.74</v>
      </c>
      <c r="D228" s="214">
        <v>0.44367636922083908</v>
      </c>
      <c r="E228" s="193"/>
      <c r="F228" s="194"/>
      <c r="G228" s="142"/>
      <c r="H228" s="117"/>
      <c r="I228" s="235"/>
      <c r="J228" s="147">
        <f t="shared" si="7"/>
        <v>0</v>
      </c>
      <c r="K228" s="218">
        <f t="shared" si="6"/>
        <v>0.44367636922083908</v>
      </c>
    </row>
    <row r="229" spans="1:11" x14ac:dyDescent="0.25">
      <c r="A229" s="153" t="s">
        <v>129</v>
      </c>
      <c r="B229" s="152">
        <v>41.785977000000003</v>
      </c>
      <c r="C229" s="116">
        <v>0.82</v>
      </c>
      <c r="D229" s="214">
        <v>1.9623808245526959E-2</v>
      </c>
      <c r="E229" s="141"/>
      <c r="F229" s="149"/>
      <c r="G229" s="142"/>
      <c r="H229" s="117"/>
      <c r="I229" s="235"/>
      <c r="J229" s="147">
        <f t="shared" si="7"/>
        <v>0</v>
      </c>
      <c r="K229" s="218">
        <f t="shared" si="6"/>
        <v>1.9623808245526959E-2</v>
      </c>
    </row>
    <row r="230" spans="1:11" x14ac:dyDescent="0.25">
      <c r="A230" s="153" t="s">
        <v>106</v>
      </c>
      <c r="B230" s="152">
        <v>243144.8535</v>
      </c>
      <c r="C230" s="116">
        <v>39058.67</v>
      </c>
      <c r="D230" s="214">
        <v>0.1606395094848265</v>
      </c>
      <c r="E230" s="140">
        <v>0.17</v>
      </c>
      <c r="F230" s="149">
        <f>IF(E230&gt;D230, E230*B230-C230, 0)</f>
        <v>2275.9550950000048</v>
      </c>
      <c r="G230" s="142">
        <f>IF(F230&gt;(H230+I230), F230-H230-I230, 0)</f>
        <v>1319.9550950000048</v>
      </c>
      <c r="H230" s="117"/>
      <c r="I230" s="139">
        <v>956</v>
      </c>
      <c r="J230" s="147">
        <f t="shared" si="7"/>
        <v>2275.9550950000048</v>
      </c>
      <c r="K230" s="218">
        <f t="shared" si="6"/>
        <v>0.17</v>
      </c>
    </row>
    <row r="231" spans="1:11" x14ac:dyDescent="0.25">
      <c r="A231" s="153" t="s">
        <v>41</v>
      </c>
      <c r="B231" s="152">
        <v>598828.7966</v>
      </c>
      <c r="C231" s="116">
        <v>23873.83</v>
      </c>
      <c r="D231" s="214">
        <v>3.9867538327397797E-2</v>
      </c>
      <c r="E231" s="140"/>
      <c r="F231" s="149"/>
      <c r="G231" s="142"/>
      <c r="H231" s="117">
        <f>0.15*B231-C231</f>
        <v>65950.489489999993</v>
      </c>
      <c r="I231" s="235"/>
      <c r="J231" s="147">
        <f t="shared" si="7"/>
        <v>65950.489489999993</v>
      </c>
      <c r="K231" s="218">
        <f t="shared" si="6"/>
        <v>0.15</v>
      </c>
    </row>
    <row r="232" spans="1:11" x14ac:dyDescent="0.25">
      <c r="A232" s="153" t="s">
        <v>240</v>
      </c>
      <c r="B232" s="152">
        <v>70921.457389999996</v>
      </c>
      <c r="C232" s="116">
        <v>12734</v>
      </c>
      <c r="D232" s="214">
        <v>0.17955073779681674</v>
      </c>
      <c r="E232" s="140">
        <v>0.12</v>
      </c>
      <c r="F232" s="192" t="s">
        <v>317</v>
      </c>
      <c r="G232" s="142"/>
      <c r="H232" s="117"/>
      <c r="I232" s="235"/>
      <c r="J232" s="147">
        <f t="shared" si="7"/>
        <v>0</v>
      </c>
      <c r="K232" s="218">
        <f t="shared" si="6"/>
        <v>0.17955073779681674</v>
      </c>
    </row>
    <row r="233" spans="1:11" x14ac:dyDescent="0.25">
      <c r="A233" s="153" t="s">
        <v>30</v>
      </c>
      <c r="B233" s="152">
        <v>245247.58730000001</v>
      </c>
      <c r="C233" s="116">
        <v>70356</v>
      </c>
      <c r="D233" s="214">
        <v>0.28687743995596077</v>
      </c>
      <c r="E233" s="193"/>
      <c r="F233" s="194"/>
      <c r="G233" s="142"/>
      <c r="H233" s="117"/>
      <c r="I233" s="235"/>
      <c r="J233" s="147">
        <f t="shared" si="7"/>
        <v>0</v>
      </c>
      <c r="K233" s="218">
        <f t="shared" si="6"/>
        <v>0.28687743995596077</v>
      </c>
    </row>
    <row r="234" spans="1:11" x14ac:dyDescent="0.25">
      <c r="A234" s="153" t="s">
        <v>1</v>
      </c>
      <c r="B234" s="152">
        <v>947252.69079999998</v>
      </c>
      <c r="C234" s="116">
        <v>361594</v>
      </c>
      <c r="D234" s="214">
        <v>0.38172918748282114</v>
      </c>
      <c r="E234" s="141"/>
      <c r="F234" s="149"/>
      <c r="G234" s="142"/>
      <c r="H234" s="152"/>
      <c r="I234" s="142">
        <v>1183.69</v>
      </c>
      <c r="J234" s="147">
        <f t="shared" si="7"/>
        <v>1183.69</v>
      </c>
      <c r="K234" s="218">
        <f t="shared" si="6"/>
        <v>0.38297879068954344</v>
      </c>
    </row>
    <row r="235" spans="1:11" x14ac:dyDescent="0.25">
      <c r="A235" s="153" t="s">
        <v>199</v>
      </c>
      <c r="B235" s="152">
        <v>363.49791099999999</v>
      </c>
      <c r="C235" s="116">
        <v>363.5</v>
      </c>
      <c r="D235" s="214">
        <v>1.0000057469381165</v>
      </c>
      <c r="E235" s="141"/>
      <c r="F235" s="149"/>
      <c r="G235" s="142"/>
      <c r="H235" s="117"/>
      <c r="I235" s="235"/>
      <c r="J235" s="147">
        <f t="shared" si="7"/>
        <v>0</v>
      </c>
      <c r="K235" s="218">
        <f t="shared" si="6"/>
        <v>1.0000057469381165</v>
      </c>
    </row>
    <row r="236" spans="1:11" x14ac:dyDescent="0.25">
      <c r="A236" s="153" t="s">
        <v>241</v>
      </c>
      <c r="B236" s="152">
        <v>9490391.2939999998</v>
      </c>
      <c r="C236" s="116">
        <v>1233175</v>
      </c>
      <c r="D236" s="214">
        <v>0.12993932091921603</v>
      </c>
      <c r="E236" s="141"/>
      <c r="F236" s="194"/>
      <c r="G236" s="142"/>
      <c r="H236" s="117"/>
      <c r="I236" s="235"/>
      <c r="J236" s="147">
        <f t="shared" si="7"/>
        <v>0</v>
      </c>
      <c r="K236" s="218">
        <f t="shared" si="6"/>
        <v>0.12993932091921603</v>
      </c>
    </row>
    <row r="237" spans="1:11" x14ac:dyDescent="0.25">
      <c r="A237" s="153" t="s">
        <v>205</v>
      </c>
      <c r="B237" s="152">
        <v>375.62477000000001</v>
      </c>
      <c r="C237" s="116">
        <v>51.82</v>
      </c>
      <c r="D237" s="214">
        <v>0.13795682324144917</v>
      </c>
      <c r="E237" s="193"/>
      <c r="F237" s="194"/>
      <c r="G237" s="142"/>
      <c r="H237" s="117"/>
      <c r="I237" s="235"/>
      <c r="J237" s="147">
        <f t="shared" si="7"/>
        <v>0</v>
      </c>
      <c r="K237" s="218">
        <f t="shared" si="6"/>
        <v>0.13795682324144917</v>
      </c>
    </row>
    <row r="238" spans="1:11" x14ac:dyDescent="0.25">
      <c r="A238" s="153" t="s">
        <v>21</v>
      </c>
      <c r="B238" s="152">
        <v>178459.889</v>
      </c>
      <c r="C238" s="116">
        <v>6150.09</v>
      </c>
      <c r="D238" s="214">
        <v>3.4462029728148047E-2</v>
      </c>
      <c r="E238" s="140">
        <v>0.15</v>
      </c>
      <c r="F238" s="149">
        <f>IF(E238&gt;D238, E238*B238-C238, 0)</f>
        <v>20618.893349999998</v>
      </c>
      <c r="G238" s="142">
        <f>IF(F238&gt;(H238+I238), F238-H238-I238, 0)</f>
        <v>0</v>
      </c>
      <c r="H238" s="117">
        <f>0.15*B238-C238-I238</f>
        <v>19761.913349999999</v>
      </c>
      <c r="I238" s="139">
        <v>856.98</v>
      </c>
      <c r="J238" s="147">
        <f t="shared" si="7"/>
        <v>20618.893349999998</v>
      </c>
      <c r="K238" s="218">
        <f t="shared" si="6"/>
        <v>0.15</v>
      </c>
    </row>
    <row r="239" spans="1:11" x14ac:dyDescent="0.25">
      <c r="A239" s="153" t="s">
        <v>121</v>
      </c>
      <c r="B239" s="152">
        <v>450362.51059999998</v>
      </c>
      <c r="C239" s="116">
        <v>15200.7</v>
      </c>
      <c r="D239" s="214">
        <v>3.3752143311726178E-2</v>
      </c>
      <c r="E239" s="141"/>
      <c r="F239" s="149"/>
      <c r="G239" s="142"/>
      <c r="H239" s="117">
        <v>37000</v>
      </c>
      <c r="I239" s="139">
        <v>2250</v>
      </c>
      <c r="J239" s="147">
        <f t="shared" si="7"/>
        <v>39250</v>
      </c>
      <c r="K239" s="218">
        <f t="shared" si="6"/>
        <v>0.12090415769167266</v>
      </c>
    </row>
    <row r="240" spans="1:11" x14ac:dyDescent="0.25">
      <c r="A240" s="153" t="s">
        <v>183</v>
      </c>
      <c r="B240" s="152">
        <v>12575.12729</v>
      </c>
      <c r="C240" s="116">
        <v>528.22</v>
      </c>
      <c r="D240" s="214">
        <v>4.2005141404815156E-2</v>
      </c>
      <c r="E240" s="140">
        <v>0.05</v>
      </c>
      <c r="F240" s="192" t="s">
        <v>284</v>
      </c>
      <c r="G240" s="142"/>
      <c r="H240" s="117"/>
      <c r="I240" s="139">
        <v>150</v>
      </c>
      <c r="J240" s="147">
        <f t="shared" si="7"/>
        <v>150</v>
      </c>
      <c r="K240" s="218">
        <f t="shared" si="6"/>
        <v>5.3933450084384792E-2</v>
      </c>
    </row>
    <row r="241" spans="1:11" x14ac:dyDescent="0.25">
      <c r="A241" s="153" t="s">
        <v>179</v>
      </c>
      <c r="B241" s="152">
        <v>917367.65229999996</v>
      </c>
      <c r="C241" s="116">
        <v>496701.14</v>
      </c>
      <c r="D241" s="214">
        <v>0.54144174230984055</v>
      </c>
      <c r="E241" s="141"/>
      <c r="F241" s="149"/>
      <c r="G241" s="142"/>
      <c r="H241" s="117"/>
      <c r="I241" s="235"/>
      <c r="J241" s="147">
        <f t="shared" si="7"/>
        <v>0</v>
      </c>
      <c r="K241" s="218">
        <f t="shared" si="6"/>
        <v>0.54144174230984055</v>
      </c>
    </row>
    <row r="242" spans="1:11" x14ac:dyDescent="0.25">
      <c r="A242" s="153" t="s">
        <v>48</v>
      </c>
      <c r="B242" s="152">
        <v>329880.37099999998</v>
      </c>
      <c r="C242" s="116">
        <v>24994.31</v>
      </c>
      <c r="D242" s="214">
        <v>7.5767800079259651E-2</v>
      </c>
      <c r="E242" s="140">
        <v>0.09</v>
      </c>
      <c r="F242" s="149">
        <f>IF(E242&gt;D242, E242*B242-C242, 0)</f>
        <v>4694.9233899999963</v>
      </c>
      <c r="G242" s="142">
        <f>IF(F242&gt;(H242+I242), F242-H242-I242, 0)</f>
        <v>289.2333899999976</v>
      </c>
      <c r="H242" s="117">
        <f>29400-C242-I242</f>
        <v>3374.2299999999987</v>
      </c>
      <c r="I242" s="139">
        <v>1031.46</v>
      </c>
      <c r="J242" s="147">
        <f t="shared" si="7"/>
        <v>4694.9233899999963</v>
      </c>
      <c r="K242" s="218">
        <f t="shared" si="6"/>
        <v>0.09</v>
      </c>
    </row>
    <row r="243" spans="1:11" x14ac:dyDescent="0.25">
      <c r="A243" s="153" t="s">
        <v>190</v>
      </c>
      <c r="B243" s="152">
        <v>180.60551699999999</v>
      </c>
      <c r="C243" s="116">
        <v>0.3</v>
      </c>
      <c r="D243" s="214">
        <v>1.6610788251833967E-3</v>
      </c>
      <c r="E243" s="193"/>
      <c r="F243" s="194"/>
      <c r="G243" s="142"/>
      <c r="H243" s="117"/>
      <c r="I243" s="235"/>
      <c r="J243" s="147">
        <f t="shared" si="7"/>
        <v>0</v>
      </c>
      <c r="K243" s="218">
        <f t="shared" si="6"/>
        <v>1.6610788251833967E-3</v>
      </c>
    </row>
    <row r="244" spans="1:11" x14ac:dyDescent="0.25">
      <c r="A244" s="153" t="s">
        <v>138</v>
      </c>
      <c r="B244" s="152">
        <v>268339.21620000002</v>
      </c>
      <c r="C244" s="116">
        <v>15269.9</v>
      </c>
      <c r="D244" s="214">
        <v>5.6905212053011869E-2</v>
      </c>
      <c r="E244" s="193"/>
      <c r="F244" s="194"/>
      <c r="G244" s="142"/>
      <c r="H244" s="117"/>
      <c r="I244" s="235"/>
      <c r="J244" s="147">
        <f t="shared" si="7"/>
        <v>0</v>
      </c>
      <c r="K244" s="218">
        <f t="shared" si="6"/>
        <v>5.6905212053011869E-2</v>
      </c>
    </row>
    <row r="245" spans="1:11" x14ac:dyDescent="0.25">
      <c r="A245" s="153" t="s">
        <v>96</v>
      </c>
      <c r="B245" s="152">
        <v>455938.91899999999</v>
      </c>
      <c r="C245" s="116">
        <v>3519.59</v>
      </c>
      <c r="D245" s="214">
        <v>7.7194331374900683E-3</v>
      </c>
      <c r="E245" s="140">
        <v>0.05</v>
      </c>
      <c r="F245" s="149">
        <f>IF(E245&gt;D245, E245*B245-C245, 0)</f>
        <v>19277.355950000001</v>
      </c>
      <c r="G245" s="142">
        <f>IF(F245&gt;(H245+I245), F245-H245-I245, 0)</f>
        <v>19277.355950000001</v>
      </c>
      <c r="H245" s="117"/>
      <c r="I245" s="235"/>
      <c r="J245" s="147">
        <f t="shared" si="7"/>
        <v>19277.355950000001</v>
      </c>
      <c r="K245" s="218">
        <f t="shared" si="6"/>
        <v>0.05</v>
      </c>
    </row>
    <row r="246" spans="1:11" x14ac:dyDescent="0.25">
      <c r="A246" s="153" t="s">
        <v>176</v>
      </c>
      <c r="B246" s="152">
        <v>755640.39069999999</v>
      </c>
      <c r="C246" s="116">
        <v>286161.09000000003</v>
      </c>
      <c r="D246" s="214">
        <v>0.37870009798564364</v>
      </c>
      <c r="E246" s="141"/>
      <c r="F246" s="149"/>
      <c r="G246" s="142"/>
      <c r="H246" s="117">
        <f>0.015*B246-I246</f>
        <v>5755.6058604999998</v>
      </c>
      <c r="I246" s="139">
        <v>5579</v>
      </c>
      <c r="J246" s="147">
        <f t="shared" si="7"/>
        <v>11334.6058605</v>
      </c>
      <c r="K246" s="218">
        <f t="shared" si="6"/>
        <v>0.39370009798564365</v>
      </c>
    </row>
    <row r="247" spans="1:11" ht="15.75" thickBot="1" x14ac:dyDescent="0.3">
      <c r="A247" s="154" t="s">
        <v>19</v>
      </c>
      <c r="B247" s="208">
        <v>392573.20030000003</v>
      </c>
      <c r="C247" s="209">
        <v>106837.17</v>
      </c>
      <c r="D247" s="215">
        <v>0.27214585692134929</v>
      </c>
      <c r="E247" s="196">
        <v>0.28000000000000003</v>
      </c>
      <c r="F247" s="197">
        <f>IF(E247&gt;D247, E247*B247-C247, 0)</f>
        <v>3083.3260840000148</v>
      </c>
      <c r="G247" s="198">
        <f>IF(F247&gt;(H247+I247), F247-H247-I247, 0)</f>
        <v>3083.3260840000148</v>
      </c>
      <c r="H247" s="118"/>
      <c r="I247" s="248"/>
      <c r="J247" s="148">
        <f>G247+H247+I247</f>
        <v>3083.3260840000148</v>
      </c>
      <c r="K247" s="219">
        <f t="shared" si="6"/>
        <v>0.28000000000000003</v>
      </c>
    </row>
    <row r="248" spans="1:11" x14ac:dyDescent="0.25">
      <c r="G248" s="200"/>
    </row>
    <row r="249" spans="1:11" x14ac:dyDescent="0.25">
      <c r="J249" s="129"/>
    </row>
  </sheetData>
  <autoFilter ref="A1:K247">
    <sortState ref="A2:P247">
      <sortCondition ref="A1:A247"/>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Summary</vt:lpstr>
      <vt:lpstr>Priority Actions</vt:lpstr>
      <vt:lpstr>GEF projects</vt:lpstr>
      <vt:lpstr>NBSAPs</vt:lpstr>
      <vt:lpstr>newAllCountry</vt:lpstr>
    </vt:vector>
  </TitlesOfParts>
  <Company>SCBD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scbd</cp:lastModifiedBy>
  <cp:lastPrinted>2019-03-12T18:57:49Z</cp:lastPrinted>
  <dcterms:created xsi:type="dcterms:W3CDTF">2017-06-14T13:26:27Z</dcterms:created>
  <dcterms:modified xsi:type="dcterms:W3CDTF">2019-03-29T14:37:06Z</dcterms:modified>
</cp:coreProperties>
</file>